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3250" windowHeight="12720" tabRatio="658" firstSheet="4" activeTab="8"/>
  </bookViews>
  <sheets>
    <sheet name="Prazos e Áreas" sheetId="11" r:id="rId1"/>
    <sheet name="base" sheetId="10" state="hidden" r:id="rId2"/>
    <sheet name="base (2)" sheetId="13" state="hidden" r:id="rId3"/>
    <sheet name="Cronograma PAM" sheetId="14" r:id="rId4"/>
    <sheet name="Cronograma SFM" sheetId="12" r:id="rId5"/>
    <sheet name="BDI Pavimentação" sheetId="20" r:id="rId6"/>
    <sheet name="Grandes Itens" sheetId="7" r:id="rId7"/>
    <sheet name="ENSAIOS DE ORÇAMENTO" sheetId="17" r:id="rId8"/>
    <sheet name="ORÇAMENTO" sheetId="21" r:id="rId9"/>
  </sheets>
  <externalReferences>
    <externalReference r:id="rId10"/>
  </externalReferences>
  <definedNames>
    <definedName name="_xlnm._FilterDatabase" localSheetId="6" hidden="1">'Grandes Itens'!$A$4:$F$20</definedName>
    <definedName name="_xlnm._FilterDatabase" localSheetId="8" hidden="1">ORÇAMENTO!$A$17:$S$2680</definedName>
    <definedName name="_xlnm.Print_Area" localSheetId="1">base!$B$1:$P$13</definedName>
    <definedName name="_xlnm.Print_Area" localSheetId="2">'base (2)'!$B$1:$P$13</definedName>
    <definedName name="_xlnm.Print_Area" localSheetId="5">'BDI Pavimentação'!$A$1:$C$17</definedName>
    <definedName name="_xlnm.Print_Area" localSheetId="3">'Cronograma PAM'!$B$1:$T$55</definedName>
    <definedName name="_xlnm.Print_Area" localSheetId="4">'Cronograma SFM'!$B$1:$T$55</definedName>
    <definedName name="_xlnm.Print_Area" localSheetId="7">'ENSAIOS DE ORÇAMENTO'!#REF!</definedName>
    <definedName name="_xlnm.Print_Area" localSheetId="6">'Grandes Itens'!$A$1:$G$20</definedName>
    <definedName name="_xlnm.Print_Area" localSheetId="8">ORÇAMENTO!$B$1:$Q$2670</definedName>
    <definedName name="d" localSheetId="5">[1]proposta!#REF!</definedName>
    <definedName name="d" localSheetId="8">[1]proposta!#REF!</definedName>
    <definedName name="d">[1]proposta!#REF!</definedName>
    <definedName name="j" localSheetId="5">#REF!</definedName>
    <definedName name="j" localSheetId="8">#REF!</definedName>
    <definedName name="j">#REF!</definedName>
    <definedName name="_xlnm.Print_Titles" localSheetId="7">'ENSAIOS DE ORÇAMENTO'!#REF!</definedName>
    <definedName name="_xlnm.Print_Titles" localSheetId="6">'Grandes Itens'!$4:$4</definedName>
    <definedName name="_xlnm.Print_Titles" localSheetId="8">ORÇAMENTO!$16:$17</definedName>
  </definedNames>
  <calcPr calcId="12451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4" i="12"/>
  <c r="S19"/>
  <c r="S15"/>
  <c r="S14"/>
  <c r="S12"/>
  <c r="S11"/>
  <c r="S10"/>
  <c r="S9"/>
  <c r="S2678" i="21" l="1"/>
  <c r="S2677"/>
  <c r="S2676"/>
  <c r="S2675"/>
  <c r="S2674"/>
  <c r="S2673"/>
  <c r="S2672"/>
  <c r="S2671"/>
  <c r="S2670"/>
  <c r="Q2670"/>
  <c r="S2669"/>
  <c r="J2669"/>
  <c r="S2668"/>
  <c r="J2668"/>
  <c r="S2667"/>
  <c r="J2667"/>
  <c r="S2666"/>
  <c r="J2666"/>
  <c r="S2665"/>
  <c r="J2665"/>
  <c r="S2664"/>
  <c r="J2664"/>
  <c r="S2663"/>
  <c r="J2663"/>
  <c r="P2662"/>
  <c r="S2662" s="1"/>
  <c r="O2662"/>
  <c r="K2662"/>
  <c r="P2661"/>
  <c r="S2661" s="1"/>
  <c r="O2661"/>
  <c r="K2661"/>
  <c r="P2660"/>
  <c r="S2660" s="1"/>
  <c r="O2660"/>
  <c r="K2660"/>
  <c r="P2659"/>
  <c r="S2659" s="1"/>
  <c r="O2659"/>
  <c r="K2659"/>
  <c r="P2658"/>
  <c r="S2658" s="1"/>
  <c r="O2658"/>
  <c r="K2658"/>
  <c r="P2657"/>
  <c r="S2657" s="1"/>
  <c r="O2657"/>
  <c r="K2657"/>
  <c r="P2656"/>
  <c r="S2656" s="1"/>
  <c r="O2656"/>
  <c r="K2656"/>
  <c r="P2655"/>
  <c r="S2655" s="1"/>
  <c r="O2655"/>
  <c r="K2655"/>
  <c r="P2654"/>
  <c r="S2654" s="1"/>
  <c r="O2654"/>
  <c r="K2654"/>
  <c r="P2653"/>
  <c r="S2653" s="1"/>
  <c r="O2653"/>
  <c r="K2653"/>
  <c r="P2652"/>
  <c r="S2652" s="1"/>
  <c r="O2652"/>
  <c r="K2652"/>
  <c r="P2651"/>
  <c r="S2651" s="1"/>
  <c r="O2651"/>
  <c r="K2651"/>
  <c r="P2650"/>
  <c r="S2650" s="1"/>
  <c r="O2650"/>
  <c r="K2650"/>
  <c r="P2649"/>
  <c r="S2649" s="1"/>
  <c r="O2649"/>
  <c r="K2649"/>
  <c r="P2648"/>
  <c r="S2648" s="1"/>
  <c r="O2648"/>
  <c r="K2648"/>
  <c r="P2647"/>
  <c r="S2647" s="1"/>
  <c r="O2647"/>
  <c r="K2647"/>
  <c r="P2646"/>
  <c r="S2646" s="1"/>
  <c r="O2646"/>
  <c r="K2646"/>
  <c r="P2645"/>
  <c r="S2645" s="1"/>
  <c r="O2645"/>
  <c r="K2645"/>
  <c r="P2644"/>
  <c r="S2644" s="1"/>
  <c r="O2644"/>
  <c r="K2644"/>
  <c r="P2643"/>
  <c r="S2643" s="1"/>
  <c r="O2643"/>
  <c r="K2643"/>
  <c r="P2642"/>
  <c r="S2642" s="1"/>
  <c r="O2642"/>
  <c r="K2642"/>
  <c r="P2641"/>
  <c r="S2641" s="1"/>
  <c r="O2641"/>
  <c r="K2641"/>
  <c r="P2640"/>
  <c r="S2640" s="1"/>
  <c r="O2640"/>
  <c r="K2640"/>
  <c r="P2639"/>
  <c r="S2639" s="1"/>
  <c r="O2639"/>
  <c r="K2639"/>
  <c r="P2638"/>
  <c r="S2638" s="1"/>
  <c r="O2638"/>
  <c r="K2638"/>
  <c r="P2637"/>
  <c r="S2637" s="1"/>
  <c r="O2637"/>
  <c r="K2637"/>
  <c r="P2636"/>
  <c r="S2636" s="1"/>
  <c r="O2636"/>
  <c r="K2636"/>
  <c r="P2635"/>
  <c r="S2635" s="1"/>
  <c r="O2635"/>
  <c r="K2635"/>
  <c r="P2634"/>
  <c r="S2634" s="1"/>
  <c r="O2634"/>
  <c r="K2634"/>
  <c r="P2633"/>
  <c r="S2633" s="1"/>
  <c r="O2633"/>
  <c r="K2633"/>
  <c r="P2632"/>
  <c r="O2632"/>
  <c r="K2632"/>
  <c r="P2630"/>
  <c r="S2630" s="1"/>
  <c r="J2630"/>
  <c r="P2629"/>
  <c r="S2629" s="1"/>
  <c r="J2629"/>
  <c r="P2628"/>
  <c r="S2628" s="1"/>
  <c r="J2628"/>
  <c r="P2627"/>
  <c r="S2627" s="1"/>
  <c r="J2627"/>
  <c r="P2626"/>
  <c r="S2626" s="1"/>
  <c r="J2626"/>
  <c r="P2625"/>
  <c r="S2625" s="1"/>
  <c r="J2625"/>
  <c r="P2624"/>
  <c r="S2624" s="1"/>
  <c r="J2624"/>
  <c r="P2623"/>
  <c r="S2623" s="1"/>
  <c r="O2623"/>
  <c r="J2623"/>
  <c r="P2622"/>
  <c r="S2622" s="1"/>
  <c r="J2622"/>
  <c r="P2621"/>
  <c r="S2621" s="1"/>
  <c r="J2621"/>
  <c r="P2620"/>
  <c r="S2620" s="1"/>
  <c r="J2620"/>
  <c r="P2619"/>
  <c r="S2619" s="1"/>
  <c r="J2619"/>
  <c r="P2618"/>
  <c r="J2618"/>
  <c r="P2616"/>
  <c r="S2616" s="1"/>
  <c r="O2616"/>
  <c r="K2616"/>
  <c r="P2615"/>
  <c r="S2615" s="1"/>
  <c r="O2615"/>
  <c r="K2615"/>
  <c r="P2614"/>
  <c r="S2614" s="1"/>
  <c r="O2614"/>
  <c r="K2614"/>
  <c r="P2613"/>
  <c r="S2613" s="1"/>
  <c r="O2613"/>
  <c r="K2613"/>
  <c r="P2612"/>
  <c r="S2612" s="1"/>
  <c r="O2612"/>
  <c r="K2612"/>
  <c r="P2611"/>
  <c r="S2611" s="1"/>
  <c r="O2611"/>
  <c r="K2611"/>
  <c r="P2610"/>
  <c r="S2610" s="1"/>
  <c r="O2610"/>
  <c r="K2610"/>
  <c r="P2609"/>
  <c r="S2609" s="1"/>
  <c r="O2609"/>
  <c r="K2609"/>
  <c r="P2608"/>
  <c r="S2608" s="1"/>
  <c r="O2608"/>
  <c r="K2608"/>
  <c r="P2607"/>
  <c r="S2607" s="1"/>
  <c r="O2607"/>
  <c r="K2607"/>
  <c r="P2606"/>
  <c r="S2606" s="1"/>
  <c r="O2606"/>
  <c r="K2606"/>
  <c r="P2605"/>
  <c r="S2605" s="1"/>
  <c r="O2605"/>
  <c r="K2605"/>
  <c r="P2604"/>
  <c r="S2604" s="1"/>
  <c r="O2604"/>
  <c r="K2604"/>
  <c r="P2603"/>
  <c r="S2603" s="1"/>
  <c r="O2603"/>
  <c r="K2603"/>
  <c r="P2602"/>
  <c r="S2602" s="1"/>
  <c r="O2602"/>
  <c r="K2602"/>
  <c r="P2601"/>
  <c r="S2601" s="1"/>
  <c r="O2601"/>
  <c r="K2601"/>
  <c r="P2600"/>
  <c r="S2600" s="1"/>
  <c r="O2600"/>
  <c r="K2600"/>
  <c r="P2599"/>
  <c r="S2599" s="1"/>
  <c r="O2599"/>
  <c r="K2599"/>
  <c r="P2598"/>
  <c r="S2598" s="1"/>
  <c r="O2598"/>
  <c r="K2598"/>
  <c r="P2597"/>
  <c r="S2597" s="1"/>
  <c r="O2597"/>
  <c r="K2597"/>
  <c r="P2596"/>
  <c r="S2596" s="1"/>
  <c r="O2596"/>
  <c r="K2596"/>
  <c r="P2595"/>
  <c r="S2595" s="1"/>
  <c r="O2595"/>
  <c r="K2595"/>
  <c r="P2594"/>
  <c r="S2594" s="1"/>
  <c r="O2594"/>
  <c r="K2594"/>
  <c r="P2593"/>
  <c r="S2593" s="1"/>
  <c r="O2593"/>
  <c r="K2593"/>
  <c r="P2592"/>
  <c r="S2592" s="1"/>
  <c r="O2592"/>
  <c r="K2592"/>
  <c r="P2591"/>
  <c r="S2591" s="1"/>
  <c r="O2591"/>
  <c r="K2591"/>
  <c r="P2590"/>
  <c r="S2590" s="1"/>
  <c r="O2590"/>
  <c r="K2590"/>
  <c r="P2589"/>
  <c r="S2589" s="1"/>
  <c r="O2589"/>
  <c r="K2589"/>
  <c r="P2588"/>
  <c r="S2588" s="1"/>
  <c r="O2588"/>
  <c r="K2588"/>
  <c r="P2587"/>
  <c r="S2587" s="1"/>
  <c r="O2587"/>
  <c r="K2587"/>
  <c r="P2586"/>
  <c r="O2586"/>
  <c r="K2586"/>
  <c r="P2584"/>
  <c r="O2584"/>
  <c r="K2584"/>
  <c r="J2584"/>
  <c r="P2583"/>
  <c r="O2583"/>
  <c r="K2583"/>
  <c r="J2583"/>
  <c r="P2582"/>
  <c r="O2582"/>
  <c r="K2582"/>
  <c r="J2582"/>
  <c r="P2581"/>
  <c r="O2581"/>
  <c r="K2581"/>
  <c r="J2581"/>
  <c r="P2580"/>
  <c r="O2580"/>
  <c r="K2580"/>
  <c r="J2580"/>
  <c r="P2579"/>
  <c r="R2584" s="1"/>
  <c r="O2579"/>
  <c r="D2579"/>
  <c r="G2584" s="1"/>
  <c r="H2584" s="1"/>
  <c r="P2578"/>
  <c r="O2578"/>
  <c r="K2578"/>
  <c r="J2578"/>
  <c r="P2577"/>
  <c r="O2577"/>
  <c r="K2577"/>
  <c r="J2577"/>
  <c r="P2576"/>
  <c r="O2576"/>
  <c r="K2576"/>
  <c r="J2576"/>
  <c r="P2575"/>
  <c r="O2575"/>
  <c r="K2575"/>
  <c r="J2575"/>
  <c r="P2574"/>
  <c r="O2574"/>
  <c r="K2574"/>
  <c r="J2574"/>
  <c r="P2573"/>
  <c r="R2578" s="1"/>
  <c r="O2573"/>
  <c r="D2573"/>
  <c r="G2578" s="1"/>
  <c r="H2578" s="1"/>
  <c r="P2572"/>
  <c r="O2572"/>
  <c r="K2572"/>
  <c r="J2572"/>
  <c r="P2571"/>
  <c r="O2571"/>
  <c r="K2571"/>
  <c r="J2571"/>
  <c r="P2570"/>
  <c r="O2570"/>
  <c r="K2570"/>
  <c r="J2570"/>
  <c r="P2569"/>
  <c r="O2569"/>
  <c r="K2569"/>
  <c r="J2569"/>
  <c r="P2568"/>
  <c r="O2568"/>
  <c r="K2568"/>
  <c r="J2568"/>
  <c r="P2567"/>
  <c r="R2572" s="1"/>
  <c r="O2567"/>
  <c r="D2567"/>
  <c r="G2572" s="1"/>
  <c r="H2572" s="1"/>
  <c r="P2566"/>
  <c r="O2566"/>
  <c r="K2566"/>
  <c r="J2566"/>
  <c r="P2565"/>
  <c r="O2565"/>
  <c r="K2565"/>
  <c r="J2565"/>
  <c r="P2564"/>
  <c r="O2564"/>
  <c r="K2564"/>
  <c r="J2564"/>
  <c r="P2563"/>
  <c r="O2563"/>
  <c r="K2563"/>
  <c r="J2563"/>
  <c r="P2562"/>
  <c r="O2562"/>
  <c r="K2562"/>
  <c r="J2562"/>
  <c r="P2561"/>
  <c r="R2566" s="1"/>
  <c r="O2561"/>
  <c r="D2561"/>
  <c r="G2566" s="1"/>
  <c r="H2566" s="1"/>
  <c r="P2560"/>
  <c r="O2560"/>
  <c r="K2560"/>
  <c r="J2560"/>
  <c r="P2559"/>
  <c r="O2559"/>
  <c r="K2559"/>
  <c r="J2559"/>
  <c r="P2558"/>
  <c r="O2558"/>
  <c r="K2558"/>
  <c r="J2558"/>
  <c r="P2557"/>
  <c r="O2557"/>
  <c r="K2557"/>
  <c r="J2557"/>
  <c r="P2556"/>
  <c r="O2556"/>
  <c r="K2556"/>
  <c r="J2556"/>
  <c r="P2555"/>
  <c r="R2560" s="1"/>
  <c r="S2560" s="1"/>
  <c r="O2555"/>
  <c r="D2555"/>
  <c r="G2560" s="1"/>
  <c r="H2560" s="1"/>
  <c r="P2554"/>
  <c r="O2554"/>
  <c r="K2554"/>
  <c r="J2554"/>
  <c r="P2553"/>
  <c r="O2553"/>
  <c r="K2553"/>
  <c r="J2553"/>
  <c r="P2552"/>
  <c r="O2552"/>
  <c r="K2552"/>
  <c r="J2552"/>
  <c r="P2551"/>
  <c r="O2551"/>
  <c r="K2551"/>
  <c r="J2551"/>
  <c r="P2550"/>
  <c r="O2550"/>
  <c r="K2550"/>
  <c r="J2550"/>
  <c r="P2549"/>
  <c r="R2554" s="1"/>
  <c r="S2554" s="1"/>
  <c r="O2549"/>
  <c r="D2549"/>
  <c r="G2554" s="1"/>
  <c r="H2554" s="1"/>
  <c r="P2548"/>
  <c r="O2548"/>
  <c r="K2548"/>
  <c r="J2548"/>
  <c r="P2547"/>
  <c r="O2547"/>
  <c r="K2547"/>
  <c r="J2547"/>
  <c r="P2546"/>
  <c r="O2546"/>
  <c r="K2546"/>
  <c r="J2546"/>
  <c r="P2545"/>
  <c r="O2545"/>
  <c r="K2545"/>
  <c r="J2545"/>
  <c r="P2544"/>
  <c r="O2544"/>
  <c r="K2544"/>
  <c r="J2544"/>
  <c r="P2543"/>
  <c r="R2548" s="1"/>
  <c r="O2543"/>
  <c r="D2543"/>
  <c r="G2548" s="1"/>
  <c r="H2548" s="1"/>
  <c r="P2542"/>
  <c r="O2542"/>
  <c r="K2542"/>
  <c r="J2542"/>
  <c r="P2541"/>
  <c r="O2541"/>
  <c r="K2541"/>
  <c r="J2541"/>
  <c r="P2540"/>
  <c r="O2540"/>
  <c r="K2540"/>
  <c r="J2540"/>
  <c r="P2539"/>
  <c r="O2539"/>
  <c r="K2539"/>
  <c r="J2539"/>
  <c r="P2538"/>
  <c r="O2538"/>
  <c r="K2538"/>
  <c r="J2538"/>
  <c r="P2537"/>
  <c r="R2542" s="1"/>
  <c r="O2537"/>
  <c r="D2537"/>
  <c r="G2542" s="1"/>
  <c r="H2542" s="1"/>
  <c r="P2536"/>
  <c r="O2536"/>
  <c r="K2536"/>
  <c r="J2536"/>
  <c r="P2535"/>
  <c r="O2535"/>
  <c r="K2535"/>
  <c r="J2535"/>
  <c r="P2534"/>
  <c r="O2534"/>
  <c r="K2534"/>
  <c r="J2534"/>
  <c r="P2533"/>
  <c r="O2533"/>
  <c r="K2533"/>
  <c r="J2533"/>
  <c r="P2532"/>
  <c r="O2532"/>
  <c r="K2532"/>
  <c r="J2532"/>
  <c r="P2531"/>
  <c r="R2536" s="1"/>
  <c r="O2531"/>
  <c r="D2531"/>
  <c r="G2536" s="1"/>
  <c r="H2536" s="1"/>
  <c r="P2530"/>
  <c r="O2530"/>
  <c r="K2530"/>
  <c r="J2530"/>
  <c r="P2529"/>
  <c r="O2529"/>
  <c r="K2529"/>
  <c r="J2529"/>
  <c r="P2528"/>
  <c r="O2528"/>
  <c r="K2528"/>
  <c r="J2528"/>
  <c r="P2527"/>
  <c r="O2527"/>
  <c r="K2527"/>
  <c r="J2527"/>
  <c r="P2526"/>
  <c r="O2526"/>
  <c r="K2526"/>
  <c r="J2526"/>
  <c r="P2525"/>
  <c r="R2530" s="1"/>
  <c r="S2530" s="1"/>
  <c r="O2525"/>
  <c r="D2525"/>
  <c r="G2530" s="1"/>
  <c r="H2530" s="1"/>
  <c r="P2524"/>
  <c r="O2524"/>
  <c r="K2524"/>
  <c r="G2524"/>
  <c r="H2524" s="1"/>
  <c r="P2523"/>
  <c r="O2523"/>
  <c r="K2523"/>
  <c r="G2523"/>
  <c r="H2523" s="1"/>
  <c r="P2522"/>
  <c r="O2522"/>
  <c r="K2522"/>
  <c r="G2522"/>
  <c r="H2522" s="1"/>
  <c r="P2521"/>
  <c r="O2521"/>
  <c r="K2521"/>
  <c r="G2521"/>
  <c r="H2521" s="1"/>
  <c r="P2520"/>
  <c r="O2520"/>
  <c r="K2520"/>
  <c r="G2520"/>
  <c r="H2520" s="1"/>
  <c r="P2519"/>
  <c r="R2520" s="1"/>
  <c r="S2520" s="1"/>
  <c r="O2519"/>
  <c r="I2519"/>
  <c r="P2518"/>
  <c r="O2518"/>
  <c r="K2518"/>
  <c r="G2518"/>
  <c r="H2518" s="1"/>
  <c r="P2517"/>
  <c r="O2517"/>
  <c r="K2517"/>
  <c r="G2517"/>
  <c r="H2517" s="1"/>
  <c r="P2516"/>
  <c r="O2516"/>
  <c r="K2516"/>
  <c r="G2516"/>
  <c r="H2516" s="1"/>
  <c r="P2515"/>
  <c r="O2515"/>
  <c r="K2515"/>
  <c r="G2515"/>
  <c r="H2515" s="1"/>
  <c r="P2514"/>
  <c r="O2514"/>
  <c r="K2514"/>
  <c r="G2514"/>
  <c r="H2514" s="1"/>
  <c r="P2513"/>
  <c r="S2513" s="1"/>
  <c r="O2513"/>
  <c r="I2513"/>
  <c r="P2512"/>
  <c r="O2512"/>
  <c r="K2512"/>
  <c r="G2512"/>
  <c r="H2512" s="1"/>
  <c r="P2511"/>
  <c r="O2511"/>
  <c r="K2511"/>
  <c r="G2511"/>
  <c r="H2511" s="1"/>
  <c r="P2510"/>
  <c r="O2510"/>
  <c r="K2510"/>
  <c r="G2510"/>
  <c r="H2510" s="1"/>
  <c r="P2509"/>
  <c r="O2509"/>
  <c r="K2509"/>
  <c r="G2509"/>
  <c r="H2509" s="1"/>
  <c r="P2508"/>
  <c r="O2508"/>
  <c r="K2508"/>
  <c r="G2508"/>
  <c r="H2508" s="1"/>
  <c r="P2507"/>
  <c r="S2507" s="1"/>
  <c r="O2507"/>
  <c r="I2507"/>
  <c r="P2506"/>
  <c r="O2506"/>
  <c r="K2506"/>
  <c r="G2506"/>
  <c r="H2506" s="1"/>
  <c r="P2505"/>
  <c r="O2505"/>
  <c r="K2505"/>
  <c r="G2505"/>
  <c r="H2505" s="1"/>
  <c r="P2504"/>
  <c r="O2504"/>
  <c r="K2504"/>
  <c r="G2504"/>
  <c r="H2504" s="1"/>
  <c r="P2503"/>
  <c r="O2503"/>
  <c r="K2503"/>
  <c r="G2503"/>
  <c r="H2503" s="1"/>
  <c r="P2502"/>
  <c r="O2502"/>
  <c r="K2502"/>
  <c r="G2502"/>
  <c r="H2502" s="1"/>
  <c r="P2501"/>
  <c r="R2506" s="1"/>
  <c r="O2501"/>
  <c r="I2501"/>
  <c r="P2500"/>
  <c r="O2500"/>
  <c r="K2500"/>
  <c r="G2500"/>
  <c r="H2500" s="1"/>
  <c r="P2499"/>
  <c r="O2499"/>
  <c r="K2499"/>
  <c r="G2499"/>
  <c r="H2499" s="1"/>
  <c r="P2498"/>
  <c r="O2498"/>
  <c r="K2498"/>
  <c r="G2498"/>
  <c r="H2498" s="1"/>
  <c r="P2497"/>
  <c r="O2497"/>
  <c r="K2497"/>
  <c r="G2497"/>
  <c r="H2497" s="1"/>
  <c r="P2496"/>
  <c r="O2496"/>
  <c r="K2496"/>
  <c r="G2496"/>
  <c r="H2496" s="1"/>
  <c r="P2495"/>
  <c r="O2495"/>
  <c r="I2495"/>
  <c r="P2494"/>
  <c r="O2494"/>
  <c r="K2494"/>
  <c r="G2494"/>
  <c r="H2494" s="1"/>
  <c r="P2493"/>
  <c r="O2493"/>
  <c r="K2493"/>
  <c r="G2493"/>
  <c r="H2493" s="1"/>
  <c r="P2492"/>
  <c r="O2492"/>
  <c r="K2492"/>
  <c r="G2492"/>
  <c r="H2492" s="1"/>
  <c r="P2491"/>
  <c r="O2491"/>
  <c r="K2491"/>
  <c r="G2491"/>
  <c r="H2491" s="1"/>
  <c r="P2490"/>
  <c r="O2490"/>
  <c r="K2490"/>
  <c r="G2490"/>
  <c r="H2490" s="1"/>
  <c r="P2489"/>
  <c r="O2489"/>
  <c r="I2489"/>
  <c r="P2488"/>
  <c r="O2488"/>
  <c r="K2488"/>
  <c r="G2488"/>
  <c r="H2488" s="1"/>
  <c r="P2487"/>
  <c r="O2487"/>
  <c r="K2487"/>
  <c r="G2487"/>
  <c r="H2487" s="1"/>
  <c r="P2486"/>
  <c r="O2486"/>
  <c r="K2486"/>
  <c r="G2486"/>
  <c r="H2486" s="1"/>
  <c r="P2485"/>
  <c r="O2485"/>
  <c r="K2485"/>
  <c r="G2485"/>
  <c r="H2485" s="1"/>
  <c r="P2484"/>
  <c r="O2484"/>
  <c r="K2484"/>
  <c r="G2484"/>
  <c r="H2484" s="1"/>
  <c r="P2483"/>
  <c r="R2485" s="1"/>
  <c r="S2485" s="1"/>
  <c r="O2483"/>
  <c r="I2483"/>
  <c r="P2482"/>
  <c r="O2482"/>
  <c r="K2482"/>
  <c r="G2482"/>
  <c r="H2482" s="1"/>
  <c r="P2481"/>
  <c r="O2481"/>
  <c r="K2481"/>
  <c r="G2481"/>
  <c r="H2481" s="1"/>
  <c r="P2480"/>
  <c r="O2480"/>
  <c r="K2480"/>
  <c r="G2480"/>
  <c r="H2480" s="1"/>
  <c r="P2479"/>
  <c r="O2479"/>
  <c r="K2479"/>
  <c r="G2479"/>
  <c r="H2479" s="1"/>
  <c r="P2478"/>
  <c r="O2478"/>
  <c r="K2478"/>
  <c r="G2478"/>
  <c r="H2478" s="1"/>
  <c r="P2477"/>
  <c r="R2480" s="1"/>
  <c r="O2477"/>
  <c r="I2477"/>
  <c r="P2476"/>
  <c r="O2476"/>
  <c r="K2476"/>
  <c r="G2476"/>
  <c r="H2476" s="1"/>
  <c r="P2475"/>
  <c r="O2475"/>
  <c r="K2475"/>
  <c r="G2475"/>
  <c r="H2475" s="1"/>
  <c r="P2474"/>
  <c r="O2474"/>
  <c r="K2474"/>
  <c r="G2474"/>
  <c r="H2474" s="1"/>
  <c r="P2473"/>
  <c r="O2473"/>
  <c r="K2473"/>
  <c r="G2473"/>
  <c r="H2473" s="1"/>
  <c r="P2472"/>
  <c r="O2472"/>
  <c r="K2472"/>
  <c r="G2472"/>
  <c r="H2472" s="1"/>
  <c r="P2471"/>
  <c r="R2473" s="1"/>
  <c r="O2471"/>
  <c r="I2471"/>
  <c r="P2470"/>
  <c r="O2470"/>
  <c r="K2470"/>
  <c r="G2470"/>
  <c r="H2470" s="1"/>
  <c r="P2469"/>
  <c r="O2469"/>
  <c r="K2469"/>
  <c r="G2469"/>
  <c r="H2469" s="1"/>
  <c r="P2468"/>
  <c r="O2468"/>
  <c r="K2468"/>
  <c r="G2468"/>
  <c r="H2468" s="1"/>
  <c r="P2467"/>
  <c r="O2467"/>
  <c r="K2467"/>
  <c r="G2467"/>
  <c r="H2467" s="1"/>
  <c r="P2466"/>
  <c r="O2466"/>
  <c r="K2466"/>
  <c r="G2466"/>
  <c r="H2466" s="1"/>
  <c r="P2465"/>
  <c r="R2468" s="1"/>
  <c r="O2465"/>
  <c r="I2465"/>
  <c r="P2464"/>
  <c r="O2464"/>
  <c r="K2464"/>
  <c r="G2464"/>
  <c r="H2464" s="1"/>
  <c r="P2463"/>
  <c r="O2463"/>
  <c r="K2463"/>
  <c r="G2463"/>
  <c r="H2463" s="1"/>
  <c r="P2462"/>
  <c r="O2462"/>
  <c r="K2462"/>
  <c r="G2462"/>
  <c r="H2462" s="1"/>
  <c r="P2461"/>
  <c r="O2461"/>
  <c r="K2461"/>
  <c r="G2461"/>
  <c r="H2461" s="1"/>
  <c r="P2460"/>
  <c r="O2460"/>
  <c r="K2460"/>
  <c r="G2460"/>
  <c r="H2460" s="1"/>
  <c r="P2459"/>
  <c r="R2461" s="1"/>
  <c r="O2459"/>
  <c r="I2459"/>
  <c r="P2458"/>
  <c r="O2458"/>
  <c r="K2458"/>
  <c r="G2458"/>
  <c r="H2458" s="1"/>
  <c r="P2457"/>
  <c r="O2457"/>
  <c r="K2457"/>
  <c r="G2457"/>
  <c r="H2457" s="1"/>
  <c r="P2456"/>
  <c r="O2456"/>
  <c r="K2456"/>
  <c r="G2456"/>
  <c r="H2456" s="1"/>
  <c r="P2455"/>
  <c r="O2455"/>
  <c r="K2455"/>
  <c r="G2455"/>
  <c r="H2455" s="1"/>
  <c r="P2454"/>
  <c r="O2454"/>
  <c r="K2454"/>
  <c r="G2454"/>
  <c r="H2454" s="1"/>
  <c r="P2453"/>
  <c r="R2457" s="1"/>
  <c r="O2453"/>
  <c r="I2453"/>
  <c r="P2452"/>
  <c r="O2452"/>
  <c r="K2452"/>
  <c r="G2452"/>
  <c r="H2452" s="1"/>
  <c r="P2451"/>
  <c r="O2451"/>
  <c r="K2451"/>
  <c r="G2451"/>
  <c r="H2451" s="1"/>
  <c r="P2450"/>
  <c r="O2450"/>
  <c r="K2450"/>
  <c r="G2450"/>
  <c r="H2450" s="1"/>
  <c r="P2449"/>
  <c r="O2449"/>
  <c r="K2449"/>
  <c r="G2449"/>
  <c r="H2449" s="1"/>
  <c r="P2448"/>
  <c r="O2448"/>
  <c r="K2448"/>
  <c r="G2448"/>
  <c r="H2448" s="1"/>
  <c r="P2447"/>
  <c r="S2447" s="1"/>
  <c r="O2447"/>
  <c r="I2447"/>
  <c r="P2446"/>
  <c r="O2446"/>
  <c r="K2446"/>
  <c r="G2446"/>
  <c r="H2446" s="1"/>
  <c r="P2445"/>
  <c r="O2445"/>
  <c r="K2445"/>
  <c r="G2445"/>
  <c r="H2445" s="1"/>
  <c r="P2444"/>
  <c r="O2444"/>
  <c r="K2444"/>
  <c r="G2444"/>
  <c r="H2444" s="1"/>
  <c r="P2443"/>
  <c r="O2443"/>
  <c r="K2443"/>
  <c r="G2443"/>
  <c r="H2443" s="1"/>
  <c r="P2442"/>
  <c r="O2442"/>
  <c r="K2442"/>
  <c r="G2442"/>
  <c r="H2442" s="1"/>
  <c r="P2441"/>
  <c r="R2445" s="1"/>
  <c r="O2441"/>
  <c r="I2441"/>
  <c r="P2440"/>
  <c r="O2440"/>
  <c r="K2440"/>
  <c r="G2440"/>
  <c r="H2440" s="1"/>
  <c r="P2439"/>
  <c r="O2439"/>
  <c r="K2439"/>
  <c r="G2439"/>
  <c r="H2439" s="1"/>
  <c r="P2438"/>
  <c r="O2438"/>
  <c r="K2438"/>
  <c r="G2438"/>
  <c r="H2438" s="1"/>
  <c r="P2437"/>
  <c r="O2437"/>
  <c r="K2437"/>
  <c r="G2437"/>
  <c r="H2437" s="1"/>
  <c r="P2436"/>
  <c r="O2436"/>
  <c r="K2436"/>
  <c r="G2436"/>
  <c r="H2436" s="1"/>
  <c r="P2435"/>
  <c r="R2437" s="1"/>
  <c r="S2437" s="1"/>
  <c r="O2435"/>
  <c r="I2435"/>
  <c r="P2434"/>
  <c r="O2434"/>
  <c r="K2434"/>
  <c r="G2434"/>
  <c r="H2434" s="1"/>
  <c r="P2433"/>
  <c r="O2433"/>
  <c r="K2433"/>
  <c r="G2433"/>
  <c r="H2433" s="1"/>
  <c r="P2432"/>
  <c r="O2432"/>
  <c r="K2432"/>
  <c r="G2432"/>
  <c r="H2432" s="1"/>
  <c r="P2431"/>
  <c r="O2431"/>
  <c r="K2431"/>
  <c r="G2431"/>
  <c r="H2431" s="1"/>
  <c r="P2430"/>
  <c r="O2430"/>
  <c r="K2430"/>
  <c r="G2430"/>
  <c r="H2430" s="1"/>
  <c r="P2429"/>
  <c r="R2433" s="1"/>
  <c r="O2429"/>
  <c r="I2429"/>
  <c r="P2428"/>
  <c r="O2428"/>
  <c r="K2428"/>
  <c r="G2428"/>
  <c r="H2428" s="1"/>
  <c r="P2427"/>
  <c r="O2427"/>
  <c r="K2427"/>
  <c r="G2427"/>
  <c r="H2427" s="1"/>
  <c r="P2426"/>
  <c r="O2426"/>
  <c r="K2426"/>
  <c r="G2426"/>
  <c r="H2426" s="1"/>
  <c r="P2425"/>
  <c r="O2425"/>
  <c r="K2425"/>
  <c r="G2425"/>
  <c r="H2425" s="1"/>
  <c r="P2424"/>
  <c r="O2424"/>
  <c r="K2424"/>
  <c r="G2424"/>
  <c r="H2424" s="1"/>
  <c r="P2423"/>
  <c r="S2423" s="1"/>
  <c r="O2423"/>
  <c r="I2423"/>
  <c r="P2422"/>
  <c r="O2422"/>
  <c r="K2422"/>
  <c r="G2422"/>
  <c r="H2422" s="1"/>
  <c r="P2421"/>
  <c r="O2421"/>
  <c r="K2421"/>
  <c r="G2421"/>
  <c r="H2421" s="1"/>
  <c r="P2420"/>
  <c r="O2420"/>
  <c r="K2420"/>
  <c r="G2420"/>
  <c r="H2420" s="1"/>
  <c r="P2419"/>
  <c r="O2419"/>
  <c r="K2419"/>
  <c r="G2419"/>
  <c r="H2419" s="1"/>
  <c r="P2418"/>
  <c r="O2418"/>
  <c r="K2418"/>
  <c r="G2418"/>
  <c r="H2418" s="1"/>
  <c r="P2417"/>
  <c r="R2421" s="1"/>
  <c r="O2417"/>
  <c r="I2417"/>
  <c r="P2416"/>
  <c r="O2416"/>
  <c r="K2416"/>
  <c r="G2416"/>
  <c r="H2416" s="1"/>
  <c r="P2415"/>
  <c r="O2415"/>
  <c r="K2415"/>
  <c r="G2415"/>
  <c r="H2415" s="1"/>
  <c r="P2414"/>
  <c r="O2414"/>
  <c r="K2414"/>
  <c r="G2414"/>
  <c r="H2414" s="1"/>
  <c r="P2413"/>
  <c r="O2413"/>
  <c r="K2413"/>
  <c r="G2413"/>
  <c r="H2413" s="1"/>
  <c r="P2412"/>
  <c r="O2412"/>
  <c r="K2412"/>
  <c r="G2412"/>
  <c r="H2412" s="1"/>
  <c r="P2411"/>
  <c r="R2413" s="1"/>
  <c r="O2411"/>
  <c r="I2411"/>
  <c r="P2410"/>
  <c r="O2410"/>
  <c r="K2410"/>
  <c r="G2410"/>
  <c r="H2410" s="1"/>
  <c r="P2409"/>
  <c r="O2409"/>
  <c r="K2409"/>
  <c r="G2409"/>
  <c r="H2409" s="1"/>
  <c r="P2408"/>
  <c r="O2408"/>
  <c r="K2408"/>
  <c r="G2408"/>
  <c r="H2408" s="1"/>
  <c r="P2407"/>
  <c r="O2407"/>
  <c r="K2407"/>
  <c r="G2407"/>
  <c r="H2407" s="1"/>
  <c r="P2406"/>
  <c r="O2406"/>
  <c r="K2406"/>
  <c r="G2406"/>
  <c r="H2406" s="1"/>
  <c r="P2405"/>
  <c r="R2406" s="1"/>
  <c r="O2405"/>
  <c r="I2405"/>
  <c r="P2404"/>
  <c r="O2404"/>
  <c r="K2404"/>
  <c r="G2404"/>
  <c r="H2404" s="1"/>
  <c r="P2403"/>
  <c r="O2403"/>
  <c r="K2403"/>
  <c r="G2403"/>
  <c r="H2403" s="1"/>
  <c r="P2402"/>
  <c r="O2402"/>
  <c r="K2402"/>
  <c r="G2402"/>
  <c r="H2402" s="1"/>
  <c r="P2401"/>
  <c r="O2401"/>
  <c r="K2401"/>
  <c r="G2401"/>
  <c r="H2401" s="1"/>
  <c r="P2400"/>
  <c r="O2400"/>
  <c r="K2400"/>
  <c r="G2400"/>
  <c r="H2400" s="1"/>
  <c r="P2399"/>
  <c r="S2399" s="1"/>
  <c r="O2399"/>
  <c r="I2399"/>
  <c r="P2398"/>
  <c r="O2398"/>
  <c r="K2398"/>
  <c r="G2398"/>
  <c r="H2398" s="1"/>
  <c r="P2397"/>
  <c r="O2397"/>
  <c r="K2397"/>
  <c r="G2397"/>
  <c r="H2397" s="1"/>
  <c r="P2396"/>
  <c r="O2396"/>
  <c r="K2396"/>
  <c r="G2396"/>
  <c r="H2396" s="1"/>
  <c r="P2395"/>
  <c r="O2395"/>
  <c r="K2395"/>
  <c r="G2395"/>
  <c r="H2395" s="1"/>
  <c r="P2394"/>
  <c r="O2394"/>
  <c r="K2394"/>
  <c r="G2394"/>
  <c r="H2394" s="1"/>
  <c r="P2393"/>
  <c r="R2397" s="1"/>
  <c r="O2393"/>
  <c r="I2393"/>
  <c r="P2392"/>
  <c r="O2392"/>
  <c r="K2392"/>
  <c r="G2392"/>
  <c r="H2392" s="1"/>
  <c r="P2391"/>
  <c r="O2391"/>
  <c r="K2391"/>
  <c r="G2391"/>
  <c r="H2391" s="1"/>
  <c r="P2390"/>
  <c r="O2390"/>
  <c r="K2390"/>
  <c r="G2390"/>
  <c r="H2390" s="1"/>
  <c r="P2389"/>
  <c r="O2389"/>
  <c r="K2389"/>
  <c r="G2389"/>
  <c r="H2389" s="1"/>
  <c r="P2388"/>
  <c r="O2388"/>
  <c r="K2388"/>
  <c r="G2388"/>
  <c r="H2388" s="1"/>
  <c r="P2387"/>
  <c r="R2389" s="1"/>
  <c r="O2387"/>
  <c r="I2387"/>
  <c r="P2386"/>
  <c r="O2386"/>
  <c r="K2386"/>
  <c r="G2386"/>
  <c r="H2386" s="1"/>
  <c r="P2385"/>
  <c r="O2385"/>
  <c r="K2385"/>
  <c r="G2385"/>
  <c r="H2385" s="1"/>
  <c r="P2384"/>
  <c r="O2384"/>
  <c r="K2384"/>
  <c r="G2384"/>
  <c r="H2384" s="1"/>
  <c r="P2383"/>
  <c r="O2383"/>
  <c r="K2383"/>
  <c r="G2383"/>
  <c r="H2383" s="1"/>
  <c r="P2382"/>
  <c r="O2382"/>
  <c r="K2382"/>
  <c r="G2382"/>
  <c r="H2382" s="1"/>
  <c r="P2381"/>
  <c r="R2382" s="1"/>
  <c r="O2381"/>
  <c r="I2381"/>
  <c r="P2380"/>
  <c r="O2380"/>
  <c r="K2380"/>
  <c r="G2380"/>
  <c r="H2380" s="1"/>
  <c r="P2379"/>
  <c r="O2379"/>
  <c r="K2379"/>
  <c r="G2379"/>
  <c r="H2379" s="1"/>
  <c r="P2378"/>
  <c r="O2378"/>
  <c r="K2378"/>
  <c r="G2378"/>
  <c r="H2378" s="1"/>
  <c r="P2377"/>
  <c r="O2377"/>
  <c r="K2377"/>
  <c r="G2377"/>
  <c r="H2377" s="1"/>
  <c r="P2376"/>
  <c r="O2376"/>
  <c r="K2376"/>
  <c r="G2376"/>
  <c r="H2376" s="1"/>
  <c r="P2375"/>
  <c r="R2380" s="1"/>
  <c r="O2375"/>
  <c r="I2375"/>
  <c r="P2374"/>
  <c r="O2374"/>
  <c r="K2374"/>
  <c r="G2374"/>
  <c r="H2374" s="1"/>
  <c r="P2373"/>
  <c r="O2373"/>
  <c r="K2373"/>
  <c r="G2373"/>
  <c r="H2373" s="1"/>
  <c r="P2372"/>
  <c r="O2372"/>
  <c r="K2372"/>
  <c r="G2372"/>
  <c r="H2372" s="1"/>
  <c r="P2371"/>
  <c r="O2371"/>
  <c r="K2371"/>
  <c r="G2371"/>
  <c r="H2371" s="1"/>
  <c r="P2370"/>
  <c r="O2370"/>
  <c r="K2370"/>
  <c r="G2370"/>
  <c r="H2370" s="1"/>
  <c r="P2369"/>
  <c r="R2373" s="1"/>
  <c r="O2369"/>
  <c r="I2369"/>
  <c r="P2368"/>
  <c r="O2368"/>
  <c r="K2368"/>
  <c r="G2368"/>
  <c r="H2368" s="1"/>
  <c r="P2367"/>
  <c r="O2367"/>
  <c r="K2367"/>
  <c r="G2367"/>
  <c r="H2367" s="1"/>
  <c r="P2366"/>
  <c r="O2366"/>
  <c r="K2366"/>
  <c r="G2366"/>
  <c r="H2366" s="1"/>
  <c r="P2365"/>
  <c r="O2365"/>
  <c r="K2365"/>
  <c r="G2365"/>
  <c r="H2365" s="1"/>
  <c r="P2364"/>
  <c r="O2364"/>
  <c r="K2364"/>
  <c r="G2364"/>
  <c r="H2364" s="1"/>
  <c r="P2363"/>
  <c r="R2367" s="1"/>
  <c r="O2363"/>
  <c r="I2363"/>
  <c r="P2362"/>
  <c r="O2362"/>
  <c r="K2362"/>
  <c r="G2362"/>
  <c r="H2362" s="1"/>
  <c r="P2361"/>
  <c r="O2361"/>
  <c r="K2361"/>
  <c r="G2361"/>
  <c r="H2361" s="1"/>
  <c r="P2360"/>
  <c r="O2360"/>
  <c r="K2360"/>
  <c r="G2360"/>
  <c r="H2360" s="1"/>
  <c r="P2359"/>
  <c r="O2359"/>
  <c r="K2359"/>
  <c r="G2359"/>
  <c r="H2359" s="1"/>
  <c r="P2358"/>
  <c r="O2358"/>
  <c r="K2358"/>
  <c r="G2358"/>
  <c r="H2358" s="1"/>
  <c r="P2357"/>
  <c r="R2358" s="1"/>
  <c r="O2357"/>
  <c r="I2357"/>
  <c r="P2356"/>
  <c r="O2356"/>
  <c r="K2356"/>
  <c r="G2356"/>
  <c r="H2356" s="1"/>
  <c r="P2355"/>
  <c r="O2355"/>
  <c r="K2355"/>
  <c r="G2355"/>
  <c r="H2355" s="1"/>
  <c r="P2354"/>
  <c r="O2354"/>
  <c r="K2354"/>
  <c r="G2354"/>
  <c r="H2354" s="1"/>
  <c r="P2353"/>
  <c r="O2353"/>
  <c r="K2353"/>
  <c r="G2353"/>
  <c r="H2353" s="1"/>
  <c r="P2352"/>
  <c r="O2352"/>
  <c r="K2352"/>
  <c r="G2352"/>
  <c r="H2352" s="1"/>
  <c r="P2351"/>
  <c r="R2356" s="1"/>
  <c r="O2351"/>
  <c r="I2351"/>
  <c r="P2350"/>
  <c r="O2350"/>
  <c r="K2350"/>
  <c r="G2350"/>
  <c r="H2350" s="1"/>
  <c r="P2349"/>
  <c r="O2349"/>
  <c r="K2349"/>
  <c r="G2349"/>
  <c r="H2349" s="1"/>
  <c r="P2348"/>
  <c r="O2348"/>
  <c r="K2348"/>
  <c r="G2348"/>
  <c r="H2348" s="1"/>
  <c r="P2347"/>
  <c r="O2347"/>
  <c r="K2347"/>
  <c r="G2347"/>
  <c r="H2347" s="1"/>
  <c r="P2346"/>
  <c r="O2346"/>
  <c r="K2346"/>
  <c r="G2346"/>
  <c r="H2346" s="1"/>
  <c r="P2345"/>
  <c r="R2348" s="1"/>
  <c r="O2345"/>
  <c r="I2345"/>
  <c r="P2344"/>
  <c r="O2344"/>
  <c r="K2344"/>
  <c r="G2344"/>
  <c r="H2344" s="1"/>
  <c r="P2343"/>
  <c r="O2343"/>
  <c r="K2343"/>
  <c r="G2343"/>
  <c r="H2343" s="1"/>
  <c r="P2342"/>
  <c r="O2342"/>
  <c r="K2342"/>
  <c r="G2342"/>
  <c r="H2342" s="1"/>
  <c r="P2341"/>
  <c r="O2341"/>
  <c r="K2341"/>
  <c r="G2341"/>
  <c r="H2341" s="1"/>
  <c r="P2340"/>
  <c r="O2340"/>
  <c r="K2340"/>
  <c r="G2340"/>
  <c r="H2340" s="1"/>
  <c r="P2339"/>
  <c r="R2342" s="1"/>
  <c r="O2339"/>
  <c r="I2339"/>
  <c r="P2338"/>
  <c r="O2338"/>
  <c r="K2338"/>
  <c r="G2338"/>
  <c r="H2338" s="1"/>
  <c r="P2337"/>
  <c r="O2337"/>
  <c r="K2337"/>
  <c r="G2337"/>
  <c r="H2337" s="1"/>
  <c r="P2336"/>
  <c r="O2336"/>
  <c r="K2336"/>
  <c r="G2336"/>
  <c r="H2336" s="1"/>
  <c r="P2335"/>
  <c r="O2335"/>
  <c r="K2335"/>
  <c r="G2335"/>
  <c r="H2335" s="1"/>
  <c r="P2334"/>
  <c r="O2334"/>
  <c r="K2334"/>
  <c r="G2334"/>
  <c r="H2334" s="1"/>
  <c r="P2333"/>
  <c r="R2334" s="1"/>
  <c r="O2333"/>
  <c r="I2333"/>
  <c r="P2332"/>
  <c r="O2332"/>
  <c r="K2332"/>
  <c r="G2332"/>
  <c r="H2332" s="1"/>
  <c r="P2331"/>
  <c r="O2331"/>
  <c r="K2331"/>
  <c r="G2331"/>
  <c r="H2331" s="1"/>
  <c r="P2330"/>
  <c r="O2330"/>
  <c r="K2330"/>
  <c r="G2330"/>
  <c r="H2330" s="1"/>
  <c r="P2329"/>
  <c r="O2329"/>
  <c r="K2329"/>
  <c r="G2329"/>
  <c r="H2329" s="1"/>
  <c r="P2328"/>
  <c r="O2328"/>
  <c r="K2328"/>
  <c r="G2328"/>
  <c r="H2328" s="1"/>
  <c r="P2327"/>
  <c r="R2328" s="1"/>
  <c r="S2328" s="1"/>
  <c r="O2327"/>
  <c r="I2327"/>
  <c r="P2326"/>
  <c r="O2326"/>
  <c r="K2326"/>
  <c r="G2326"/>
  <c r="H2326" s="1"/>
  <c r="P2325"/>
  <c r="O2325"/>
  <c r="K2325"/>
  <c r="G2325"/>
  <c r="H2325" s="1"/>
  <c r="P2324"/>
  <c r="O2324"/>
  <c r="K2324"/>
  <c r="G2324"/>
  <c r="H2324" s="1"/>
  <c r="P2323"/>
  <c r="O2323"/>
  <c r="K2323"/>
  <c r="G2323"/>
  <c r="H2323" s="1"/>
  <c r="P2322"/>
  <c r="O2322"/>
  <c r="K2322"/>
  <c r="G2322"/>
  <c r="H2322" s="1"/>
  <c r="P2321"/>
  <c r="S2321" s="1"/>
  <c r="O2321"/>
  <c r="I2321"/>
  <c r="P2320"/>
  <c r="O2320"/>
  <c r="K2320"/>
  <c r="G2320"/>
  <c r="H2320" s="1"/>
  <c r="P2319"/>
  <c r="O2319"/>
  <c r="K2319"/>
  <c r="G2319"/>
  <c r="H2319" s="1"/>
  <c r="P2318"/>
  <c r="O2318"/>
  <c r="K2318"/>
  <c r="G2318"/>
  <c r="H2318" s="1"/>
  <c r="P2317"/>
  <c r="O2317"/>
  <c r="K2317"/>
  <c r="G2317"/>
  <c r="H2317" s="1"/>
  <c r="P2316"/>
  <c r="O2316"/>
  <c r="K2316"/>
  <c r="G2316"/>
  <c r="H2316" s="1"/>
  <c r="P2315"/>
  <c r="R2320" s="1"/>
  <c r="O2315"/>
  <c r="I2315"/>
  <c r="P2314"/>
  <c r="O2314"/>
  <c r="K2314"/>
  <c r="G2314"/>
  <c r="H2314" s="1"/>
  <c r="P2313"/>
  <c r="O2313"/>
  <c r="K2313"/>
  <c r="G2313"/>
  <c r="H2313" s="1"/>
  <c r="P2312"/>
  <c r="O2312"/>
  <c r="K2312"/>
  <c r="G2312"/>
  <c r="H2312" s="1"/>
  <c r="P2311"/>
  <c r="O2311"/>
  <c r="K2311"/>
  <c r="G2311"/>
  <c r="H2311" s="1"/>
  <c r="P2310"/>
  <c r="O2310"/>
  <c r="K2310"/>
  <c r="G2310"/>
  <c r="H2310" s="1"/>
  <c r="P2309"/>
  <c r="R2314" s="1"/>
  <c r="O2309"/>
  <c r="I2309"/>
  <c r="P2308"/>
  <c r="O2308"/>
  <c r="K2308"/>
  <c r="G2308"/>
  <c r="H2308" s="1"/>
  <c r="P2307"/>
  <c r="O2307"/>
  <c r="K2307"/>
  <c r="G2307"/>
  <c r="H2307" s="1"/>
  <c r="P2306"/>
  <c r="O2306"/>
  <c r="K2306"/>
  <c r="G2306"/>
  <c r="H2306" s="1"/>
  <c r="P2305"/>
  <c r="O2305"/>
  <c r="K2305"/>
  <c r="G2305"/>
  <c r="H2305" s="1"/>
  <c r="P2304"/>
  <c r="O2304"/>
  <c r="K2304"/>
  <c r="G2304"/>
  <c r="H2304" s="1"/>
  <c r="P2303"/>
  <c r="S2303" s="1"/>
  <c r="O2303"/>
  <c r="I2303"/>
  <c r="P2302"/>
  <c r="O2302"/>
  <c r="K2302"/>
  <c r="G2302"/>
  <c r="H2302" s="1"/>
  <c r="P2301"/>
  <c r="O2301"/>
  <c r="K2301"/>
  <c r="G2301"/>
  <c r="H2301" s="1"/>
  <c r="P2300"/>
  <c r="O2300"/>
  <c r="K2300"/>
  <c r="G2300"/>
  <c r="H2300" s="1"/>
  <c r="P2299"/>
  <c r="O2299"/>
  <c r="K2299"/>
  <c r="G2299"/>
  <c r="H2299" s="1"/>
  <c r="P2298"/>
  <c r="O2298"/>
  <c r="K2298"/>
  <c r="G2298"/>
  <c r="H2298" s="1"/>
  <c r="P2297"/>
  <c r="S2297" s="1"/>
  <c r="O2297"/>
  <c r="I2297"/>
  <c r="P2296"/>
  <c r="O2296"/>
  <c r="K2296"/>
  <c r="G2296"/>
  <c r="H2296" s="1"/>
  <c r="P2295"/>
  <c r="O2295"/>
  <c r="K2295"/>
  <c r="G2295"/>
  <c r="H2295" s="1"/>
  <c r="P2294"/>
  <c r="O2294"/>
  <c r="K2294"/>
  <c r="G2294"/>
  <c r="H2294" s="1"/>
  <c r="P2293"/>
  <c r="O2293"/>
  <c r="K2293"/>
  <c r="G2293"/>
  <c r="H2293" s="1"/>
  <c r="P2292"/>
  <c r="O2292"/>
  <c r="K2292"/>
  <c r="G2292"/>
  <c r="H2292" s="1"/>
  <c r="P2291"/>
  <c r="R2296" s="1"/>
  <c r="O2291"/>
  <c r="I2291"/>
  <c r="P2290"/>
  <c r="O2290"/>
  <c r="K2290"/>
  <c r="G2290"/>
  <c r="H2290" s="1"/>
  <c r="P2289"/>
  <c r="O2289"/>
  <c r="K2289"/>
  <c r="G2289"/>
  <c r="H2289" s="1"/>
  <c r="P2288"/>
  <c r="O2288"/>
  <c r="K2288"/>
  <c r="G2288"/>
  <c r="H2288" s="1"/>
  <c r="P2287"/>
  <c r="O2287"/>
  <c r="K2287"/>
  <c r="G2287"/>
  <c r="H2287" s="1"/>
  <c r="P2286"/>
  <c r="O2286"/>
  <c r="K2286"/>
  <c r="G2286"/>
  <c r="H2286" s="1"/>
  <c r="P2285"/>
  <c r="R2288" s="1"/>
  <c r="O2285"/>
  <c r="I2285"/>
  <c r="P2284"/>
  <c r="O2284"/>
  <c r="K2284"/>
  <c r="G2284"/>
  <c r="H2284" s="1"/>
  <c r="P2283"/>
  <c r="O2283"/>
  <c r="K2283"/>
  <c r="G2283"/>
  <c r="H2283" s="1"/>
  <c r="P2282"/>
  <c r="O2282"/>
  <c r="K2282"/>
  <c r="G2282"/>
  <c r="H2282" s="1"/>
  <c r="P2281"/>
  <c r="O2281"/>
  <c r="K2281"/>
  <c r="G2281"/>
  <c r="H2281" s="1"/>
  <c r="P2280"/>
  <c r="O2280"/>
  <c r="K2280"/>
  <c r="G2280"/>
  <c r="H2280" s="1"/>
  <c r="P2279"/>
  <c r="R2280" s="1"/>
  <c r="S2280" s="1"/>
  <c r="I2279"/>
  <c r="P2278"/>
  <c r="O2278"/>
  <c r="K2278"/>
  <c r="G2278"/>
  <c r="H2278" s="1"/>
  <c r="P2277"/>
  <c r="O2277"/>
  <c r="K2277"/>
  <c r="G2277"/>
  <c r="H2277" s="1"/>
  <c r="P2276"/>
  <c r="O2276"/>
  <c r="K2276"/>
  <c r="G2276"/>
  <c r="H2276" s="1"/>
  <c r="P2275"/>
  <c r="O2275"/>
  <c r="K2275"/>
  <c r="G2275"/>
  <c r="H2275" s="1"/>
  <c r="P2274"/>
  <c r="O2274"/>
  <c r="K2274"/>
  <c r="G2274"/>
  <c r="H2274" s="1"/>
  <c r="P2273"/>
  <c r="S2273" s="1"/>
  <c r="O2273"/>
  <c r="I2273"/>
  <c r="P2272"/>
  <c r="O2272"/>
  <c r="K2272"/>
  <c r="G2272"/>
  <c r="H2272" s="1"/>
  <c r="P2271"/>
  <c r="O2271"/>
  <c r="K2271"/>
  <c r="G2271"/>
  <c r="H2271" s="1"/>
  <c r="P2270"/>
  <c r="O2270"/>
  <c r="K2270"/>
  <c r="G2270"/>
  <c r="H2270" s="1"/>
  <c r="P2269"/>
  <c r="O2269"/>
  <c r="K2269"/>
  <c r="G2269"/>
  <c r="H2269" s="1"/>
  <c r="P2268"/>
  <c r="O2268"/>
  <c r="K2268"/>
  <c r="G2268"/>
  <c r="H2268" s="1"/>
  <c r="P2267"/>
  <c r="R2272" s="1"/>
  <c r="O2267"/>
  <c r="I2267"/>
  <c r="P2266"/>
  <c r="O2266"/>
  <c r="K2266"/>
  <c r="G2266"/>
  <c r="H2266" s="1"/>
  <c r="P2265"/>
  <c r="O2265"/>
  <c r="K2265"/>
  <c r="G2265"/>
  <c r="H2265" s="1"/>
  <c r="P2264"/>
  <c r="O2264"/>
  <c r="K2264"/>
  <c r="G2264"/>
  <c r="H2264" s="1"/>
  <c r="P2263"/>
  <c r="O2263"/>
  <c r="K2263"/>
  <c r="G2263"/>
  <c r="H2263" s="1"/>
  <c r="P2262"/>
  <c r="O2262"/>
  <c r="K2262"/>
  <c r="G2262"/>
  <c r="H2262" s="1"/>
  <c r="P2261"/>
  <c r="R2264" s="1"/>
  <c r="O2261"/>
  <c r="I2261"/>
  <c r="P2260"/>
  <c r="O2260"/>
  <c r="K2260"/>
  <c r="G2260"/>
  <c r="H2260" s="1"/>
  <c r="P2259"/>
  <c r="O2259"/>
  <c r="K2259"/>
  <c r="G2259"/>
  <c r="H2259" s="1"/>
  <c r="P2258"/>
  <c r="O2258"/>
  <c r="K2258"/>
  <c r="G2258"/>
  <c r="H2258" s="1"/>
  <c r="P2257"/>
  <c r="O2257"/>
  <c r="K2257"/>
  <c r="G2257"/>
  <c r="H2257" s="1"/>
  <c r="P2256"/>
  <c r="O2256"/>
  <c r="K2256"/>
  <c r="G2256"/>
  <c r="H2256" s="1"/>
  <c r="P2255"/>
  <c r="O2255"/>
  <c r="I2255"/>
  <c r="P2254"/>
  <c r="O2254"/>
  <c r="K2254"/>
  <c r="G2254"/>
  <c r="H2254" s="1"/>
  <c r="P2253"/>
  <c r="O2253"/>
  <c r="K2253"/>
  <c r="G2253"/>
  <c r="H2253" s="1"/>
  <c r="P2252"/>
  <c r="O2252"/>
  <c r="K2252"/>
  <c r="G2252"/>
  <c r="H2252" s="1"/>
  <c r="P2251"/>
  <c r="O2251"/>
  <c r="K2251"/>
  <c r="G2251"/>
  <c r="H2251" s="1"/>
  <c r="P2250"/>
  <c r="O2250"/>
  <c r="K2250"/>
  <c r="G2250"/>
  <c r="H2250" s="1"/>
  <c r="P2249"/>
  <c r="S2249" s="1"/>
  <c r="O2249"/>
  <c r="I2249"/>
  <c r="P2248"/>
  <c r="O2248"/>
  <c r="K2248"/>
  <c r="G2248"/>
  <c r="H2248" s="1"/>
  <c r="P2247"/>
  <c r="O2247"/>
  <c r="K2247"/>
  <c r="G2247"/>
  <c r="H2247" s="1"/>
  <c r="P2246"/>
  <c r="O2246"/>
  <c r="K2246"/>
  <c r="G2246"/>
  <c r="H2246" s="1"/>
  <c r="P2245"/>
  <c r="O2245"/>
  <c r="K2245"/>
  <c r="G2245"/>
  <c r="H2245" s="1"/>
  <c r="P2244"/>
  <c r="O2244"/>
  <c r="K2244"/>
  <c r="G2244"/>
  <c r="H2244" s="1"/>
  <c r="P2243"/>
  <c r="R2247" s="1"/>
  <c r="O2243"/>
  <c r="I2243"/>
  <c r="P2242"/>
  <c r="O2242"/>
  <c r="K2242"/>
  <c r="G2242"/>
  <c r="H2242" s="1"/>
  <c r="P2241"/>
  <c r="O2241"/>
  <c r="K2241"/>
  <c r="G2241"/>
  <c r="H2241" s="1"/>
  <c r="P2240"/>
  <c r="O2240"/>
  <c r="K2240"/>
  <c r="G2240"/>
  <c r="H2240" s="1"/>
  <c r="P2239"/>
  <c r="O2239"/>
  <c r="K2239"/>
  <c r="G2239"/>
  <c r="H2239" s="1"/>
  <c r="P2238"/>
  <c r="O2238"/>
  <c r="K2238"/>
  <c r="G2238"/>
  <c r="H2238" s="1"/>
  <c r="P2237"/>
  <c r="R2240" s="1"/>
  <c r="O2237"/>
  <c r="I2237"/>
  <c r="P2236"/>
  <c r="O2236"/>
  <c r="K2236"/>
  <c r="G2236"/>
  <c r="H2236" s="1"/>
  <c r="P2235"/>
  <c r="O2235"/>
  <c r="K2235"/>
  <c r="G2235"/>
  <c r="H2235" s="1"/>
  <c r="P2234"/>
  <c r="O2234"/>
  <c r="K2234"/>
  <c r="G2234"/>
  <c r="H2234" s="1"/>
  <c r="P2233"/>
  <c r="O2233"/>
  <c r="K2233"/>
  <c r="G2233"/>
  <c r="H2233" s="1"/>
  <c r="P2232"/>
  <c r="O2232"/>
  <c r="K2232"/>
  <c r="G2232"/>
  <c r="H2232" s="1"/>
  <c r="P2231"/>
  <c r="R2235" s="1"/>
  <c r="O2231"/>
  <c r="I2231"/>
  <c r="P2230"/>
  <c r="O2230"/>
  <c r="K2230"/>
  <c r="G2230"/>
  <c r="H2230" s="1"/>
  <c r="P2229"/>
  <c r="O2229"/>
  <c r="K2229"/>
  <c r="G2229"/>
  <c r="H2229" s="1"/>
  <c r="P2228"/>
  <c r="O2228"/>
  <c r="K2228"/>
  <c r="G2228"/>
  <c r="H2228" s="1"/>
  <c r="P2227"/>
  <c r="O2227"/>
  <c r="K2227"/>
  <c r="G2227"/>
  <c r="H2227" s="1"/>
  <c r="P2226"/>
  <c r="O2226"/>
  <c r="K2226"/>
  <c r="G2226"/>
  <c r="H2226" s="1"/>
  <c r="P2225"/>
  <c r="S2225" s="1"/>
  <c r="O2225"/>
  <c r="I2225"/>
  <c r="P2224"/>
  <c r="O2224"/>
  <c r="K2224"/>
  <c r="G2224"/>
  <c r="H2224" s="1"/>
  <c r="P2223"/>
  <c r="O2223"/>
  <c r="K2223"/>
  <c r="G2223"/>
  <c r="H2223" s="1"/>
  <c r="P2222"/>
  <c r="O2222"/>
  <c r="K2222"/>
  <c r="G2222"/>
  <c r="H2222" s="1"/>
  <c r="P2221"/>
  <c r="O2221"/>
  <c r="K2221"/>
  <c r="G2221"/>
  <c r="H2221" s="1"/>
  <c r="P2220"/>
  <c r="O2220"/>
  <c r="K2220"/>
  <c r="G2220"/>
  <c r="H2220" s="1"/>
  <c r="P2219"/>
  <c r="R2223" s="1"/>
  <c r="O2219"/>
  <c r="I2219"/>
  <c r="P2218"/>
  <c r="O2218"/>
  <c r="K2218"/>
  <c r="G2218"/>
  <c r="H2218" s="1"/>
  <c r="P2217"/>
  <c r="O2217"/>
  <c r="K2217"/>
  <c r="G2217"/>
  <c r="H2217" s="1"/>
  <c r="P2216"/>
  <c r="O2216"/>
  <c r="K2216"/>
  <c r="G2216"/>
  <c r="H2216" s="1"/>
  <c r="P2215"/>
  <c r="O2215"/>
  <c r="K2215"/>
  <c r="G2215"/>
  <c r="H2215" s="1"/>
  <c r="P2214"/>
  <c r="O2214"/>
  <c r="K2214"/>
  <c r="G2214"/>
  <c r="H2214" s="1"/>
  <c r="P2213"/>
  <c r="R2216" s="1"/>
  <c r="O2213"/>
  <c r="I2213"/>
  <c r="P2212"/>
  <c r="O2212"/>
  <c r="K2212"/>
  <c r="G2212"/>
  <c r="H2212" s="1"/>
  <c r="P2211"/>
  <c r="O2211"/>
  <c r="K2211"/>
  <c r="G2211"/>
  <c r="H2211" s="1"/>
  <c r="P2210"/>
  <c r="O2210"/>
  <c r="K2210"/>
  <c r="G2210"/>
  <c r="H2210" s="1"/>
  <c r="P2209"/>
  <c r="O2209"/>
  <c r="K2209"/>
  <c r="G2209"/>
  <c r="H2209" s="1"/>
  <c r="P2208"/>
  <c r="O2208"/>
  <c r="K2208"/>
  <c r="G2208"/>
  <c r="H2208" s="1"/>
  <c r="P2207"/>
  <c r="R2211" s="1"/>
  <c r="S2211" s="1"/>
  <c r="O2207"/>
  <c r="I2207"/>
  <c r="P2206"/>
  <c r="O2206"/>
  <c r="K2206"/>
  <c r="G2206"/>
  <c r="H2206" s="1"/>
  <c r="P2205"/>
  <c r="O2205"/>
  <c r="K2205"/>
  <c r="G2205"/>
  <c r="H2205" s="1"/>
  <c r="P2204"/>
  <c r="O2204"/>
  <c r="K2204"/>
  <c r="G2204"/>
  <c r="H2204" s="1"/>
  <c r="P2203"/>
  <c r="O2203"/>
  <c r="K2203"/>
  <c r="G2203"/>
  <c r="H2203" s="1"/>
  <c r="P2202"/>
  <c r="O2202"/>
  <c r="K2202"/>
  <c r="G2202"/>
  <c r="H2202" s="1"/>
  <c r="P2201"/>
  <c r="S2201" s="1"/>
  <c r="O2201"/>
  <c r="I2201"/>
  <c r="P2200"/>
  <c r="O2200"/>
  <c r="K2200"/>
  <c r="G2200"/>
  <c r="H2200" s="1"/>
  <c r="P2199"/>
  <c r="O2199"/>
  <c r="K2199"/>
  <c r="G2199"/>
  <c r="H2199" s="1"/>
  <c r="P2198"/>
  <c r="O2198"/>
  <c r="K2198"/>
  <c r="G2198"/>
  <c r="H2198" s="1"/>
  <c r="P2197"/>
  <c r="O2197"/>
  <c r="K2197"/>
  <c r="G2197"/>
  <c r="H2197" s="1"/>
  <c r="P2196"/>
  <c r="O2196"/>
  <c r="K2196"/>
  <c r="G2196"/>
  <c r="H2196" s="1"/>
  <c r="P2195"/>
  <c r="S2195" s="1"/>
  <c r="O2195"/>
  <c r="I2195"/>
  <c r="P2194"/>
  <c r="O2194"/>
  <c r="K2194"/>
  <c r="G2194"/>
  <c r="H2194" s="1"/>
  <c r="P2193"/>
  <c r="O2193"/>
  <c r="K2193"/>
  <c r="G2193"/>
  <c r="H2193" s="1"/>
  <c r="P2192"/>
  <c r="O2192"/>
  <c r="K2192"/>
  <c r="G2192"/>
  <c r="H2192" s="1"/>
  <c r="P2191"/>
  <c r="O2191"/>
  <c r="K2191"/>
  <c r="G2191"/>
  <c r="H2191" s="1"/>
  <c r="P2190"/>
  <c r="O2190"/>
  <c r="K2190"/>
  <c r="G2190"/>
  <c r="H2190" s="1"/>
  <c r="P2189"/>
  <c r="R2192" s="1"/>
  <c r="O2189"/>
  <c r="I2189"/>
  <c r="P2188"/>
  <c r="O2188"/>
  <c r="K2188"/>
  <c r="G2188"/>
  <c r="H2188" s="1"/>
  <c r="P2187"/>
  <c r="O2187"/>
  <c r="K2187"/>
  <c r="G2187"/>
  <c r="H2187" s="1"/>
  <c r="P2186"/>
  <c r="O2186"/>
  <c r="K2186"/>
  <c r="G2186"/>
  <c r="H2186" s="1"/>
  <c r="P2185"/>
  <c r="O2185"/>
  <c r="K2185"/>
  <c r="G2185"/>
  <c r="H2185" s="1"/>
  <c r="P2184"/>
  <c r="O2184"/>
  <c r="K2184"/>
  <c r="G2184"/>
  <c r="H2184" s="1"/>
  <c r="P2183"/>
  <c r="S2183" s="1"/>
  <c r="O2183"/>
  <c r="I2183"/>
  <c r="P2182"/>
  <c r="O2182"/>
  <c r="K2182"/>
  <c r="G2182"/>
  <c r="H2182" s="1"/>
  <c r="P2181"/>
  <c r="O2181"/>
  <c r="K2181"/>
  <c r="G2181"/>
  <c r="H2181" s="1"/>
  <c r="P2180"/>
  <c r="O2180"/>
  <c r="K2180"/>
  <c r="G2180"/>
  <c r="H2180" s="1"/>
  <c r="P2179"/>
  <c r="O2179"/>
  <c r="K2179"/>
  <c r="G2179"/>
  <c r="H2179" s="1"/>
  <c r="P2178"/>
  <c r="O2178"/>
  <c r="K2178"/>
  <c r="G2178"/>
  <c r="H2178" s="1"/>
  <c r="P2177"/>
  <c r="R2178" s="1"/>
  <c r="O2177"/>
  <c r="I2177"/>
  <c r="P2176"/>
  <c r="O2176"/>
  <c r="K2176"/>
  <c r="G2176"/>
  <c r="H2176" s="1"/>
  <c r="P2175"/>
  <c r="O2175"/>
  <c r="K2175"/>
  <c r="G2175"/>
  <c r="H2175" s="1"/>
  <c r="P2174"/>
  <c r="O2174"/>
  <c r="K2174"/>
  <c r="G2174"/>
  <c r="H2174" s="1"/>
  <c r="P2173"/>
  <c r="O2173"/>
  <c r="K2173"/>
  <c r="G2173"/>
  <c r="H2173" s="1"/>
  <c r="P2172"/>
  <c r="O2172"/>
  <c r="K2172"/>
  <c r="G2172"/>
  <c r="H2172" s="1"/>
  <c r="P2171"/>
  <c r="O2171"/>
  <c r="I2171"/>
  <c r="P2170"/>
  <c r="O2170"/>
  <c r="K2170"/>
  <c r="G2170"/>
  <c r="H2170" s="1"/>
  <c r="P2169"/>
  <c r="O2169"/>
  <c r="K2169"/>
  <c r="G2169"/>
  <c r="H2169" s="1"/>
  <c r="P2168"/>
  <c r="O2168"/>
  <c r="K2168"/>
  <c r="G2168"/>
  <c r="H2168" s="1"/>
  <c r="P2167"/>
  <c r="O2167"/>
  <c r="K2167"/>
  <c r="G2167"/>
  <c r="H2167" s="1"/>
  <c r="P2166"/>
  <c r="O2166"/>
  <c r="K2166"/>
  <c r="G2166"/>
  <c r="H2166" s="1"/>
  <c r="P2165"/>
  <c r="R2168" s="1"/>
  <c r="O2165"/>
  <c r="I2165"/>
  <c r="G2165"/>
  <c r="P2164"/>
  <c r="O2164"/>
  <c r="K2164"/>
  <c r="G2164"/>
  <c r="H2164" s="1"/>
  <c r="P2163"/>
  <c r="O2163"/>
  <c r="K2163"/>
  <c r="G2163"/>
  <c r="H2163" s="1"/>
  <c r="P2162"/>
  <c r="O2162"/>
  <c r="K2162"/>
  <c r="G2162"/>
  <c r="H2162" s="1"/>
  <c r="P2161"/>
  <c r="O2161"/>
  <c r="K2161"/>
  <c r="G2161"/>
  <c r="H2161" s="1"/>
  <c r="P2160"/>
  <c r="O2160"/>
  <c r="K2160"/>
  <c r="G2160"/>
  <c r="H2160" s="1"/>
  <c r="P2159"/>
  <c r="S2159" s="1"/>
  <c r="O2159"/>
  <c r="I2159"/>
  <c r="G2159"/>
  <c r="P2158"/>
  <c r="O2158"/>
  <c r="K2158"/>
  <c r="G2158"/>
  <c r="H2158" s="1"/>
  <c r="P2157"/>
  <c r="O2157"/>
  <c r="K2157"/>
  <c r="G2157"/>
  <c r="H2157" s="1"/>
  <c r="P2156"/>
  <c r="O2156"/>
  <c r="K2156"/>
  <c r="G2156"/>
  <c r="H2156" s="1"/>
  <c r="P2155"/>
  <c r="O2155"/>
  <c r="K2155"/>
  <c r="G2155"/>
  <c r="H2155" s="1"/>
  <c r="P2154"/>
  <c r="O2154"/>
  <c r="K2154"/>
  <c r="G2154"/>
  <c r="H2154" s="1"/>
  <c r="P2153"/>
  <c r="R2158" s="1"/>
  <c r="O2153"/>
  <c r="I2153"/>
  <c r="G2153"/>
  <c r="P2152"/>
  <c r="O2152"/>
  <c r="K2152"/>
  <c r="G2152"/>
  <c r="H2152" s="1"/>
  <c r="P2151"/>
  <c r="O2151"/>
  <c r="K2151"/>
  <c r="G2151"/>
  <c r="H2151" s="1"/>
  <c r="P2150"/>
  <c r="O2150"/>
  <c r="K2150"/>
  <c r="G2150"/>
  <c r="H2150" s="1"/>
  <c r="P2149"/>
  <c r="O2149"/>
  <c r="K2149"/>
  <c r="G2149"/>
  <c r="H2149" s="1"/>
  <c r="P2148"/>
  <c r="O2148"/>
  <c r="K2148"/>
  <c r="G2148"/>
  <c r="H2148" s="1"/>
  <c r="P2147"/>
  <c r="R2149" s="1"/>
  <c r="O2147"/>
  <c r="I2147"/>
  <c r="P2146"/>
  <c r="O2146"/>
  <c r="K2146"/>
  <c r="G2146"/>
  <c r="H2146" s="1"/>
  <c r="P2145"/>
  <c r="O2145"/>
  <c r="K2145"/>
  <c r="G2145"/>
  <c r="H2145" s="1"/>
  <c r="P2144"/>
  <c r="O2144"/>
  <c r="K2144"/>
  <c r="G2144"/>
  <c r="H2144" s="1"/>
  <c r="P2143"/>
  <c r="O2143"/>
  <c r="K2143"/>
  <c r="G2143"/>
  <c r="H2143" s="1"/>
  <c r="P2142"/>
  <c r="O2142"/>
  <c r="K2142"/>
  <c r="G2142"/>
  <c r="H2142" s="1"/>
  <c r="P2141"/>
  <c r="R2144" s="1"/>
  <c r="O2141"/>
  <c r="I2141"/>
  <c r="P2140"/>
  <c r="O2140"/>
  <c r="K2140"/>
  <c r="G2140"/>
  <c r="H2140" s="1"/>
  <c r="P2139"/>
  <c r="O2139"/>
  <c r="K2139"/>
  <c r="G2139"/>
  <c r="H2139" s="1"/>
  <c r="P2138"/>
  <c r="O2138"/>
  <c r="K2138"/>
  <c r="G2138"/>
  <c r="H2138" s="1"/>
  <c r="P2137"/>
  <c r="O2137"/>
  <c r="K2137"/>
  <c r="G2137"/>
  <c r="H2137" s="1"/>
  <c r="P2136"/>
  <c r="O2136"/>
  <c r="K2136"/>
  <c r="G2136"/>
  <c r="H2136" s="1"/>
  <c r="P2135"/>
  <c r="R2140" s="1"/>
  <c r="O2135"/>
  <c r="I2135"/>
  <c r="P2134"/>
  <c r="O2134"/>
  <c r="K2134"/>
  <c r="G2134"/>
  <c r="H2134" s="1"/>
  <c r="P2133"/>
  <c r="O2133"/>
  <c r="K2133"/>
  <c r="G2133"/>
  <c r="H2133" s="1"/>
  <c r="P2132"/>
  <c r="O2132"/>
  <c r="K2132"/>
  <c r="G2132"/>
  <c r="H2132" s="1"/>
  <c r="P2131"/>
  <c r="O2131"/>
  <c r="K2131"/>
  <c r="G2131"/>
  <c r="H2131" s="1"/>
  <c r="P2130"/>
  <c r="O2130"/>
  <c r="K2130"/>
  <c r="G2130"/>
  <c r="H2130" s="1"/>
  <c r="P2129"/>
  <c r="R2132" s="1"/>
  <c r="O2129"/>
  <c r="I2129"/>
  <c r="P2128"/>
  <c r="O2128"/>
  <c r="K2128"/>
  <c r="G2128"/>
  <c r="H2128" s="1"/>
  <c r="P2127"/>
  <c r="O2127"/>
  <c r="K2127"/>
  <c r="G2127"/>
  <c r="H2127" s="1"/>
  <c r="P2126"/>
  <c r="O2126"/>
  <c r="K2126"/>
  <c r="G2126"/>
  <c r="H2126" s="1"/>
  <c r="P2125"/>
  <c r="O2125"/>
  <c r="K2125"/>
  <c r="G2125"/>
  <c r="H2125" s="1"/>
  <c r="P2124"/>
  <c r="O2124"/>
  <c r="K2124"/>
  <c r="G2124"/>
  <c r="H2124" s="1"/>
  <c r="P2123"/>
  <c r="R2125" s="1"/>
  <c r="S2125" s="1"/>
  <c r="I2123"/>
  <c r="P2122"/>
  <c r="O2122"/>
  <c r="K2122"/>
  <c r="H2122"/>
  <c r="P2121"/>
  <c r="O2121"/>
  <c r="K2121"/>
  <c r="H2121"/>
  <c r="P2120"/>
  <c r="O2120"/>
  <c r="K2120"/>
  <c r="H2120"/>
  <c r="P2119"/>
  <c r="O2119"/>
  <c r="K2119"/>
  <c r="H2119"/>
  <c r="P2118"/>
  <c r="O2118"/>
  <c r="P2117"/>
  <c r="O2117"/>
  <c r="K2117"/>
  <c r="H2117"/>
  <c r="P2116"/>
  <c r="O2116"/>
  <c r="K2116"/>
  <c r="H2116"/>
  <c r="P2115"/>
  <c r="O2115"/>
  <c r="K2115"/>
  <c r="H2115"/>
  <c r="P2114"/>
  <c r="O2114"/>
  <c r="K2114"/>
  <c r="H2114"/>
  <c r="P2113"/>
  <c r="R2117" s="1"/>
  <c r="O2113"/>
  <c r="P2112"/>
  <c r="O2112"/>
  <c r="K2112"/>
  <c r="H2112"/>
  <c r="P2111"/>
  <c r="O2111"/>
  <c r="K2111"/>
  <c r="H2111"/>
  <c r="P2110"/>
  <c r="O2110"/>
  <c r="K2110"/>
  <c r="H2110"/>
  <c r="P2109"/>
  <c r="O2109"/>
  <c r="K2109"/>
  <c r="H2109"/>
  <c r="P2108"/>
  <c r="S2108" s="1"/>
  <c r="O2108"/>
  <c r="P2107"/>
  <c r="O2107"/>
  <c r="K2107"/>
  <c r="H2107"/>
  <c r="P2106"/>
  <c r="O2106"/>
  <c r="K2106"/>
  <c r="H2106"/>
  <c r="P2105"/>
  <c r="O2105"/>
  <c r="K2105"/>
  <c r="H2105"/>
  <c r="P2104"/>
  <c r="O2104"/>
  <c r="K2104"/>
  <c r="H2104"/>
  <c r="P2103"/>
  <c r="R2107" s="1"/>
  <c r="S2107" s="1"/>
  <c r="O2103"/>
  <c r="P2102"/>
  <c r="O2102"/>
  <c r="K2102"/>
  <c r="H2102"/>
  <c r="P2101"/>
  <c r="O2101"/>
  <c r="K2101"/>
  <c r="H2101"/>
  <c r="P2100"/>
  <c r="O2100"/>
  <c r="K2100"/>
  <c r="H2100"/>
  <c r="P2099"/>
  <c r="O2099"/>
  <c r="K2099"/>
  <c r="H2099"/>
  <c r="P2098"/>
  <c r="S2098" s="1"/>
  <c r="O2098"/>
  <c r="P2097"/>
  <c r="O2097"/>
  <c r="K2097"/>
  <c r="H2097"/>
  <c r="P2096"/>
  <c r="O2096"/>
  <c r="K2096"/>
  <c r="H2096"/>
  <c r="P2095"/>
  <c r="O2095"/>
  <c r="K2095"/>
  <c r="H2095"/>
  <c r="P2094"/>
  <c r="O2094"/>
  <c r="K2094"/>
  <c r="H2094"/>
  <c r="P2093"/>
  <c r="R2096" s="1"/>
  <c r="O2093"/>
  <c r="P2092"/>
  <c r="O2092"/>
  <c r="K2092"/>
  <c r="H2092"/>
  <c r="P2091"/>
  <c r="O2091"/>
  <c r="K2091"/>
  <c r="H2091"/>
  <c r="P2090"/>
  <c r="O2090"/>
  <c r="K2090"/>
  <c r="H2090"/>
  <c r="P2089"/>
  <c r="O2089"/>
  <c r="K2089"/>
  <c r="H2089"/>
  <c r="P2088"/>
  <c r="S2088" s="1"/>
  <c r="O2088"/>
  <c r="P2087"/>
  <c r="O2087"/>
  <c r="K2087"/>
  <c r="H2087"/>
  <c r="P2086"/>
  <c r="O2086"/>
  <c r="K2086"/>
  <c r="H2086"/>
  <c r="P2085"/>
  <c r="O2085"/>
  <c r="K2085"/>
  <c r="H2085"/>
  <c r="P2084"/>
  <c r="O2084"/>
  <c r="K2084"/>
  <c r="H2084"/>
  <c r="P2083"/>
  <c r="R2086" s="1"/>
  <c r="O2083"/>
  <c r="P2082"/>
  <c r="O2082"/>
  <c r="K2082"/>
  <c r="H2082"/>
  <c r="P2081"/>
  <c r="O2081"/>
  <c r="K2081"/>
  <c r="H2081"/>
  <c r="P2080"/>
  <c r="O2080"/>
  <c r="K2080"/>
  <c r="H2080"/>
  <c r="P2079"/>
  <c r="O2079"/>
  <c r="K2079"/>
  <c r="H2079"/>
  <c r="P2078"/>
  <c r="R2079" s="1"/>
  <c r="O2078"/>
  <c r="P2077"/>
  <c r="O2077"/>
  <c r="K2077"/>
  <c r="H2077"/>
  <c r="P2076"/>
  <c r="O2076"/>
  <c r="K2076"/>
  <c r="H2076"/>
  <c r="P2075"/>
  <c r="O2075"/>
  <c r="K2075"/>
  <c r="H2075"/>
  <c r="P2074"/>
  <c r="O2074"/>
  <c r="K2074"/>
  <c r="H2074"/>
  <c r="P2073"/>
  <c r="R2077" s="1"/>
  <c r="O2073"/>
  <c r="P2072"/>
  <c r="O2072"/>
  <c r="K2072"/>
  <c r="H2072"/>
  <c r="P2071"/>
  <c r="O2071"/>
  <c r="K2071"/>
  <c r="H2071"/>
  <c r="P2070"/>
  <c r="O2070"/>
  <c r="K2070"/>
  <c r="H2070"/>
  <c r="P2069"/>
  <c r="O2069"/>
  <c r="K2069"/>
  <c r="H2069"/>
  <c r="P2068"/>
  <c r="S2068" s="1"/>
  <c r="O2068"/>
  <c r="P2067"/>
  <c r="O2067"/>
  <c r="K2067"/>
  <c r="H2067"/>
  <c r="P2066"/>
  <c r="O2066"/>
  <c r="K2066"/>
  <c r="H2066"/>
  <c r="P2065"/>
  <c r="O2065"/>
  <c r="K2065"/>
  <c r="H2065"/>
  <c r="H2064" s="1"/>
  <c r="J2064" s="1"/>
  <c r="P2064"/>
  <c r="S2064" s="1"/>
  <c r="O2064"/>
  <c r="P2063"/>
  <c r="O2063"/>
  <c r="K2063"/>
  <c r="H2063"/>
  <c r="P2062"/>
  <c r="O2062"/>
  <c r="K2062"/>
  <c r="H2062"/>
  <c r="P2061"/>
  <c r="O2061"/>
  <c r="K2061"/>
  <c r="H2061"/>
  <c r="P2060"/>
  <c r="O2060"/>
  <c r="P2059"/>
  <c r="O2059"/>
  <c r="K2059"/>
  <c r="J2059"/>
  <c r="H2059"/>
  <c r="P2058"/>
  <c r="O2058"/>
  <c r="K2058"/>
  <c r="J2058"/>
  <c r="H2058"/>
  <c r="P2057"/>
  <c r="O2057"/>
  <c r="K2057"/>
  <c r="J2057"/>
  <c r="H2057"/>
  <c r="P2056"/>
  <c r="R2057" s="1"/>
  <c r="O2056"/>
  <c r="P2055"/>
  <c r="O2055"/>
  <c r="K2055"/>
  <c r="H2055"/>
  <c r="P2054"/>
  <c r="O2054"/>
  <c r="K2054"/>
  <c r="H2054"/>
  <c r="P2053"/>
  <c r="O2053"/>
  <c r="K2053"/>
  <c r="H2053"/>
  <c r="P2052"/>
  <c r="R2055" s="1"/>
  <c r="O2052"/>
  <c r="P2051"/>
  <c r="O2051"/>
  <c r="K2051"/>
  <c r="H2051"/>
  <c r="P2050"/>
  <c r="O2050"/>
  <c r="K2050"/>
  <c r="H2050"/>
  <c r="P2049"/>
  <c r="O2049"/>
  <c r="K2049"/>
  <c r="H2049"/>
  <c r="P2048"/>
  <c r="R2051" s="1"/>
  <c r="O2048"/>
  <c r="P2047"/>
  <c r="O2047"/>
  <c r="K2047"/>
  <c r="H2047"/>
  <c r="P2046"/>
  <c r="O2046"/>
  <c r="K2046"/>
  <c r="H2046"/>
  <c r="P2045"/>
  <c r="O2045"/>
  <c r="K2045"/>
  <c r="H2045"/>
  <c r="P2044"/>
  <c r="R2047" s="1"/>
  <c r="O2044"/>
  <c r="P2043"/>
  <c r="O2043"/>
  <c r="K2043"/>
  <c r="H2043"/>
  <c r="P2042"/>
  <c r="O2042"/>
  <c r="K2042"/>
  <c r="H2042"/>
  <c r="P2041"/>
  <c r="O2041"/>
  <c r="K2041"/>
  <c r="H2041"/>
  <c r="H2040" s="1"/>
  <c r="J2040" s="1"/>
  <c r="P2040"/>
  <c r="R2043" s="1"/>
  <c r="S2043" s="1"/>
  <c r="P2039"/>
  <c r="O2039"/>
  <c r="K2039"/>
  <c r="H2039"/>
  <c r="P2038"/>
  <c r="O2038"/>
  <c r="K2038"/>
  <c r="H2038"/>
  <c r="P2037"/>
  <c r="O2037"/>
  <c r="K2037"/>
  <c r="H2037"/>
  <c r="P2036"/>
  <c r="R2039" s="1"/>
  <c r="O2036"/>
  <c r="P2035"/>
  <c r="O2035"/>
  <c r="K2035"/>
  <c r="H2035"/>
  <c r="P2034"/>
  <c r="O2034"/>
  <c r="K2034"/>
  <c r="H2034"/>
  <c r="P2033"/>
  <c r="O2033"/>
  <c r="K2033"/>
  <c r="H2033"/>
  <c r="P2032"/>
  <c r="R2035" s="1"/>
  <c r="O2032"/>
  <c r="P2031"/>
  <c r="S2031" s="1"/>
  <c r="O2031"/>
  <c r="K2031"/>
  <c r="H2031"/>
  <c r="P2030"/>
  <c r="O2030"/>
  <c r="K2030"/>
  <c r="H2030"/>
  <c r="P2029"/>
  <c r="O2029"/>
  <c r="K2029"/>
  <c r="H2029"/>
  <c r="P2028"/>
  <c r="O2028"/>
  <c r="P2027"/>
  <c r="O2027"/>
  <c r="K2027"/>
  <c r="H2027"/>
  <c r="P2026"/>
  <c r="O2026"/>
  <c r="K2026"/>
  <c r="H2026"/>
  <c r="P2025"/>
  <c r="O2025"/>
  <c r="K2025"/>
  <c r="H2025"/>
  <c r="P2024"/>
  <c r="R2027" s="1"/>
  <c r="O2024"/>
  <c r="P2023"/>
  <c r="O2023"/>
  <c r="K2023"/>
  <c r="H2023"/>
  <c r="P2022"/>
  <c r="O2022"/>
  <c r="K2022"/>
  <c r="H2022"/>
  <c r="P2021"/>
  <c r="O2021"/>
  <c r="K2021"/>
  <c r="H2021"/>
  <c r="P2020"/>
  <c r="O2020"/>
  <c r="P2019"/>
  <c r="O2019"/>
  <c r="K2019"/>
  <c r="H2019"/>
  <c r="P2018"/>
  <c r="O2018"/>
  <c r="K2018"/>
  <c r="H2018"/>
  <c r="P2017"/>
  <c r="O2017"/>
  <c r="K2017"/>
  <c r="H2017"/>
  <c r="P2016"/>
  <c r="R2019" s="1"/>
  <c r="O2016"/>
  <c r="P2015"/>
  <c r="O2015"/>
  <c r="K2015"/>
  <c r="H2015"/>
  <c r="P2014"/>
  <c r="O2014"/>
  <c r="K2014"/>
  <c r="H2014"/>
  <c r="P2013"/>
  <c r="O2013"/>
  <c r="K2013"/>
  <c r="H2013"/>
  <c r="P2012"/>
  <c r="R2015" s="1"/>
  <c r="O2012"/>
  <c r="P2011"/>
  <c r="O2011"/>
  <c r="K2011"/>
  <c r="H2011"/>
  <c r="P2010"/>
  <c r="O2010"/>
  <c r="K2010"/>
  <c r="H2010"/>
  <c r="P2009"/>
  <c r="O2009"/>
  <c r="K2009"/>
  <c r="H2009"/>
  <c r="P2008"/>
  <c r="R2011" s="1"/>
  <c r="O2008"/>
  <c r="P2007"/>
  <c r="O2007"/>
  <c r="K2007"/>
  <c r="H2007"/>
  <c r="P2006"/>
  <c r="O2006"/>
  <c r="K2006"/>
  <c r="H2006"/>
  <c r="P2005"/>
  <c r="O2005"/>
  <c r="K2005"/>
  <c r="H2005"/>
  <c r="P2004"/>
  <c r="R2005" s="1"/>
  <c r="O2004"/>
  <c r="P2003"/>
  <c r="O2003"/>
  <c r="K2003"/>
  <c r="H2003"/>
  <c r="P2002"/>
  <c r="O2002"/>
  <c r="K2002"/>
  <c r="H2002"/>
  <c r="P2001"/>
  <c r="O2001"/>
  <c r="K2001"/>
  <c r="H2001"/>
  <c r="P2000"/>
  <c r="R2001" s="1"/>
  <c r="O2000"/>
  <c r="P1999"/>
  <c r="O1999"/>
  <c r="K1999"/>
  <c r="H1999"/>
  <c r="P1998"/>
  <c r="O1998"/>
  <c r="K1998"/>
  <c r="H1998"/>
  <c r="P1997"/>
  <c r="O1997"/>
  <c r="K1997"/>
  <c r="H1997"/>
  <c r="P1996"/>
  <c r="R1997" s="1"/>
  <c r="S1997" s="1"/>
  <c r="O1996"/>
  <c r="P1995"/>
  <c r="O1995"/>
  <c r="K1995"/>
  <c r="H1995"/>
  <c r="P1994"/>
  <c r="O1994"/>
  <c r="K1994"/>
  <c r="H1994"/>
  <c r="P1993"/>
  <c r="O1993"/>
  <c r="K1993"/>
  <c r="H1993"/>
  <c r="P1992"/>
  <c r="O1992"/>
  <c r="P1991"/>
  <c r="O1991"/>
  <c r="K1991"/>
  <c r="H1991"/>
  <c r="P1990"/>
  <c r="O1990"/>
  <c r="K1990"/>
  <c r="H1990"/>
  <c r="P1989"/>
  <c r="O1989"/>
  <c r="K1989"/>
  <c r="H1989"/>
  <c r="P1988"/>
  <c r="R1989" s="1"/>
  <c r="O1988"/>
  <c r="P1987"/>
  <c r="O1987"/>
  <c r="K1987"/>
  <c r="H1987"/>
  <c r="P1986"/>
  <c r="O1986"/>
  <c r="K1986"/>
  <c r="H1986"/>
  <c r="P1985"/>
  <c r="O1985"/>
  <c r="K1985"/>
  <c r="H1985"/>
  <c r="P1984"/>
  <c r="R1985" s="1"/>
  <c r="O1984"/>
  <c r="P1983"/>
  <c r="O1983"/>
  <c r="K1983"/>
  <c r="H1983"/>
  <c r="P1982"/>
  <c r="O1982"/>
  <c r="K1982"/>
  <c r="H1982"/>
  <c r="P1981"/>
  <c r="O1981"/>
  <c r="K1981"/>
  <c r="H1981"/>
  <c r="P1980"/>
  <c r="O1980"/>
  <c r="P1979"/>
  <c r="O1979"/>
  <c r="K1979"/>
  <c r="H1979"/>
  <c r="P1978"/>
  <c r="O1978"/>
  <c r="K1978"/>
  <c r="H1978"/>
  <c r="P1977"/>
  <c r="O1977"/>
  <c r="K1977"/>
  <c r="H1977"/>
  <c r="P1976"/>
  <c r="R1977" s="1"/>
  <c r="S1977" s="1"/>
  <c r="P1975"/>
  <c r="O1975"/>
  <c r="K1975"/>
  <c r="H1975"/>
  <c r="P1974"/>
  <c r="O1974"/>
  <c r="K1974"/>
  <c r="H1974"/>
  <c r="P1973"/>
  <c r="O1973"/>
  <c r="K1973"/>
  <c r="H1973"/>
  <c r="P1972"/>
  <c r="O1972"/>
  <c r="P1971"/>
  <c r="O1971"/>
  <c r="K1971"/>
  <c r="H1971"/>
  <c r="P1970"/>
  <c r="O1970"/>
  <c r="K1970"/>
  <c r="H1970"/>
  <c r="P1969"/>
  <c r="O1969"/>
  <c r="K1969"/>
  <c r="H1969"/>
  <c r="P1968"/>
  <c r="R1969" s="1"/>
  <c r="O1968"/>
  <c r="P1967"/>
  <c r="O1967"/>
  <c r="K1967"/>
  <c r="H1967"/>
  <c r="P1966"/>
  <c r="O1966"/>
  <c r="K1966"/>
  <c r="H1966"/>
  <c r="P1965"/>
  <c r="O1965"/>
  <c r="K1965"/>
  <c r="H1965"/>
  <c r="P1964"/>
  <c r="R1965" s="1"/>
  <c r="O1964"/>
  <c r="P1963"/>
  <c r="O1963"/>
  <c r="K1963"/>
  <c r="H1963"/>
  <c r="P1962"/>
  <c r="O1962"/>
  <c r="K1962"/>
  <c r="H1962"/>
  <c r="P1961"/>
  <c r="O1961"/>
  <c r="K1961"/>
  <c r="H1961"/>
  <c r="P1960"/>
  <c r="R1962" s="1"/>
  <c r="S1962" s="1"/>
  <c r="P1959"/>
  <c r="O1959"/>
  <c r="K1959"/>
  <c r="H1959"/>
  <c r="P1958"/>
  <c r="O1958"/>
  <c r="K1958"/>
  <c r="H1958"/>
  <c r="P1957"/>
  <c r="O1957"/>
  <c r="K1957"/>
  <c r="H1957"/>
  <c r="P1956"/>
  <c r="R1957" s="1"/>
  <c r="O1956"/>
  <c r="P1955"/>
  <c r="O1955"/>
  <c r="K1955"/>
  <c r="H1955"/>
  <c r="P1954"/>
  <c r="O1954"/>
  <c r="K1954"/>
  <c r="H1954"/>
  <c r="P1953"/>
  <c r="O1953"/>
  <c r="K1953"/>
  <c r="H1953"/>
  <c r="P1952"/>
  <c r="R1953" s="1"/>
  <c r="O1952"/>
  <c r="P1951"/>
  <c r="O1951"/>
  <c r="K1951"/>
  <c r="H1951"/>
  <c r="P1950"/>
  <c r="O1950"/>
  <c r="K1950"/>
  <c r="H1950"/>
  <c r="P1949"/>
  <c r="O1949"/>
  <c r="K1949"/>
  <c r="H1949"/>
  <c r="P1948"/>
  <c r="R1949" s="1"/>
  <c r="O1948"/>
  <c r="P1947"/>
  <c r="O1947"/>
  <c r="H1947"/>
  <c r="P1946"/>
  <c r="O1946"/>
  <c r="H1946"/>
  <c r="P1945"/>
  <c r="O1945"/>
  <c r="H1945"/>
  <c r="P1944"/>
  <c r="O1944"/>
  <c r="P1943"/>
  <c r="O1943"/>
  <c r="H1943"/>
  <c r="P1942"/>
  <c r="O1942"/>
  <c r="H1942"/>
  <c r="P1941"/>
  <c r="O1941"/>
  <c r="H1941"/>
  <c r="P1940"/>
  <c r="O1940"/>
  <c r="P1939"/>
  <c r="O1939"/>
  <c r="H1939"/>
  <c r="P1938"/>
  <c r="O1938"/>
  <c r="H1938"/>
  <c r="P1937"/>
  <c r="O1937"/>
  <c r="H1937"/>
  <c r="P1936"/>
  <c r="O1936"/>
  <c r="P1935"/>
  <c r="S1935" s="1"/>
  <c r="O1935"/>
  <c r="H1935"/>
  <c r="P1934"/>
  <c r="S1934" s="1"/>
  <c r="O1934"/>
  <c r="H1934"/>
  <c r="P1933"/>
  <c r="O1933"/>
  <c r="H1933"/>
  <c r="P1932"/>
  <c r="O1932"/>
  <c r="P1931"/>
  <c r="S1931" s="1"/>
  <c r="O1931"/>
  <c r="H1931"/>
  <c r="P1930"/>
  <c r="O1930"/>
  <c r="H1930"/>
  <c r="P1929"/>
  <c r="O1929"/>
  <c r="H1929"/>
  <c r="P1928"/>
  <c r="O1928"/>
  <c r="P1927"/>
  <c r="S1927" s="1"/>
  <c r="O1927"/>
  <c r="H1927"/>
  <c r="P1926"/>
  <c r="O1926"/>
  <c r="H1926"/>
  <c r="P1925"/>
  <c r="O1925"/>
  <c r="H1925"/>
  <c r="P1924"/>
  <c r="O1924"/>
  <c r="P1923"/>
  <c r="S1923" s="1"/>
  <c r="O1923"/>
  <c r="H1923"/>
  <c r="P1922"/>
  <c r="O1922"/>
  <c r="H1922"/>
  <c r="P1921"/>
  <c r="O1921"/>
  <c r="H1921"/>
  <c r="P1920"/>
  <c r="O1920"/>
  <c r="P1919"/>
  <c r="S1919" s="1"/>
  <c r="O1919"/>
  <c r="H1919"/>
  <c r="P1918"/>
  <c r="O1918"/>
  <c r="H1918"/>
  <c r="P1917"/>
  <c r="O1917"/>
  <c r="H1917"/>
  <c r="P1916"/>
  <c r="O1916"/>
  <c r="P1915"/>
  <c r="S1915" s="1"/>
  <c r="O1915"/>
  <c r="H1915"/>
  <c r="P1914"/>
  <c r="O1914"/>
  <c r="H1914"/>
  <c r="P1913"/>
  <c r="O1913"/>
  <c r="H1913"/>
  <c r="P1912"/>
  <c r="O1912"/>
  <c r="P1911"/>
  <c r="S1911" s="1"/>
  <c r="O1911"/>
  <c r="H1911"/>
  <c r="P1910"/>
  <c r="O1910"/>
  <c r="H1910"/>
  <c r="P1909"/>
  <c r="O1909"/>
  <c r="H1909"/>
  <c r="P1908"/>
  <c r="O1908"/>
  <c r="P1907"/>
  <c r="S1907" s="1"/>
  <c r="O1907"/>
  <c r="H1907"/>
  <c r="P1906"/>
  <c r="O1906"/>
  <c r="H1906"/>
  <c r="P1905"/>
  <c r="O1905"/>
  <c r="H1905"/>
  <c r="P1904"/>
  <c r="O1904"/>
  <c r="P1903"/>
  <c r="S1903" s="1"/>
  <c r="O1903"/>
  <c r="H1903"/>
  <c r="P1902"/>
  <c r="O1902"/>
  <c r="H1902"/>
  <c r="P1901"/>
  <c r="O1901"/>
  <c r="H1901"/>
  <c r="P1900"/>
  <c r="O1900"/>
  <c r="P1899"/>
  <c r="S1899" s="1"/>
  <c r="O1899"/>
  <c r="H1899"/>
  <c r="P1898"/>
  <c r="O1898"/>
  <c r="H1898"/>
  <c r="P1897"/>
  <c r="O1897"/>
  <c r="H1897"/>
  <c r="P1896"/>
  <c r="O1896"/>
  <c r="P1895"/>
  <c r="S1895" s="1"/>
  <c r="O1895"/>
  <c r="H1895"/>
  <c r="P1894"/>
  <c r="O1894"/>
  <c r="H1894"/>
  <c r="P1893"/>
  <c r="O1893"/>
  <c r="H1893"/>
  <c r="P1892"/>
  <c r="O1892"/>
  <c r="P1891"/>
  <c r="S1891" s="1"/>
  <c r="O1891"/>
  <c r="H1891"/>
  <c r="P1890"/>
  <c r="O1890"/>
  <c r="H1890"/>
  <c r="P1889"/>
  <c r="O1889"/>
  <c r="H1889"/>
  <c r="P1888"/>
  <c r="O1888"/>
  <c r="P1887"/>
  <c r="S1887" s="1"/>
  <c r="O1887"/>
  <c r="H1887"/>
  <c r="P1886"/>
  <c r="O1886"/>
  <c r="H1886"/>
  <c r="P1885"/>
  <c r="O1885"/>
  <c r="H1885"/>
  <c r="P1884"/>
  <c r="O1884"/>
  <c r="P1883"/>
  <c r="S1883" s="1"/>
  <c r="O1883"/>
  <c r="H1883"/>
  <c r="P1882"/>
  <c r="O1882"/>
  <c r="H1882"/>
  <c r="P1881"/>
  <c r="O1881"/>
  <c r="H1881"/>
  <c r="P1880"/>
  <c r="O1880"/>
  <c r="P1879"/>
  <c r="S1879" s="1"/>
  <c r="O1879"/>
  <c r="H1879"/>
  <c r="P1878"/>
  <c r="O1878"/>
  <c r="H1878"/>
  <c r="P1877"/>
  <c r="O1877"/>
  <c r="H1877"/>
  <c r="P1876"/>
  <c r="O1876"/>
  <c r="P1875"/>
  <c r="S1875" s="1"/>
  <c r="O1875"/>
  <c r="H1875"/>
  <c r="P1874"/>
  <c r="O1874"/>
  <c r="H1874"/>
  <c r="P1873"/>
  <c r="O1873"/>
  <c r="H1873"/>
  <c r="P1872"/>
  <c r="O1872"/>
  <c r="P1871"/>
  <c r="S1871" s="1"/>
  <c r="O1871"/>
  <c r="H1871"/>
  <c r="P1870"/>
  <c r="O1870"/>
  <c r="H1870"/>
  <c r="P1869"/>
  <c r="O1869"/>
  <c r="H1869"/>
  <c r="P1868"/>
  <c r="O1868"/>
  <c r="P1867"/>
  <c r="S1867" s="1"/>
  <c r="O1867"/>
  <c r="H1867"/>
  <c r="P1866"/>
  <c r="O1866"/>
  <c r="H1866"/>
  <c r="P1865"/>
  <c r="O1865"/>
  <c r="H1865"/>
  <c r="P1864"/>
  <c r="O1864"/>
  <c r="P1863"/>
  <c r="S1863" s="1"/>
  <c r="O1863"/>
  <c r="H1863"/>
  <c r="P1862"/>
  <c r="O1862"/>
  <c r="H1862"/>
  <c r="P1861"/>
  <c r="O1861"/>
  <c r="H1861"/>
  <c r="P1860"/>
  <c r="O1860"/>
  <c r="H1860"/>
  <c r="P1859"/>
  <c r="S1859" s="1"/>
  <c r="O1859"/>
  <c r="P1858"/>
  <c r="O1858"/>
  <c r="H1858"/>
  <c r="P1857"/>
  <c r="O1857"/>
  <c r="H1857"/>
  <c r="P1856"/>
  <c r="O1856"/>
  <c r="H1856"/>
  <c r="P1855"/>
  <c r="S1855" s="1"/>
  <c r="O1855"/>
  <c r="P1854"/>
  <c r="O1854"/>
  <c r="H1854"/>
  <c r="P1853"/>
  <c r="O1853"/>
  <c r="H1853"/>
  <c r="P1852"/>
  <c r="O1852"/>
  <c r="H1852"/>
  <c r="P1851"/>
  <c r="S1851" s="1"/>
  <c r="O1851"/>
  <c r="P1850"/>
  <c r="O1850"/>
  <c r="H1850"/>
  <c r="P1849"/>
  <c r="O1849"/>
  <c r="H1849"/>
  <c r="P1848"/>
  <c r="O1848"/>
  <c r="H1848"/>
  <c r="P1847"/>
  <c r="S1847" s="1"/>
  <c r="O1847"/>
  <c r="P1846"/>
  <c r="O1846"/>
  <c r="H1846"/>
  <c r="P1845"/>
  <c r="O1845"/>
  <c r="H1845"/>
  <c r="P1844"/>
  <c r="O1844"/>
  <c r="H1844"/>
  <c r="P1843"/>
  <c r="S1843" s="1"/>
  <c r="O1843"/>
  <c r="P1842"/>
  <c r="O1842"/>
  <c r="H1842"/>
  <c r="P1841"/>
  <c r="O1841"/>
  <c r="H1841"/>
  <c r="P1840"/>
  <c r="O1840"/>
  <c r="H1840"/>
  <c r="P1839"/>
  <c r="S1839" s="1"/>
  <c r="O1839"/>
  <c r="P1838"/>
  <c r="O1838"/>
  <c r="H1838"/>
  <c r="P1837"/>
  <c r="O1837"/>
  <c r="H1837"/>
  <c r="P1836"/>
  <c r="O1836"/>
  <c r="H1836"/>
  <c r="P1835"/>
  <c r="S1835" s="1"/>
  <c r="O1835"/>
  <c r="P1834"/>
  <c r="O1834"/>
  <c r="H1834"/>
  <c r="P1833"/>
  <c r="O1833"/>
  <c r="H1833"/>
  <c r="P1832"/>
  <c r="O1832"/>
  <c r="H1832"/>
  <c r="P1831"/>
  <c r="S1831" s="1"/>
  <c r="O1831"/>
  <c r="P1830"/>
  <c r="O1830"/>
  <c r="K1830"/>
  <c r="H1830"/>
  <c r="P1829"/>
  <c r="O1829"/>
  <c r="K1829"/>
  <c r="H1829"/>
  <c r="P1828"/>
  <c r="O1828"/>
  <c r="K1828"/>
  <c r="H1828"/>
  <c r="P1827"/>
  <c r="S1827" s="1"/>
  <c r="O1827"/>
  <c r="P1826"/>
  <c r="O1826"/>
  <c r="K1826"/>
  <c r="H1826"/>
  <c r="P1825"/>
  <c r="O1825"/>
  <c r="K1825"/>
  <c r="H1825"/>
  <c r="P1824"/>
  <c r="O1824"/>
  <c r="K1824"/>
  <c r="H1824"/>
  <c r="P1823"/>
  <c r="S1823" s="1"/>
  <c r="O1823"/>
  <c r="P1822"/>
  <c r="O1822"/>
  <c r="K1822"/>
  <c r="H1822"/>
  <c r="P1821"/>
  <c r="O1821"/>
  <c r="K1821"/>
  <c r="H1821"/>
  <c r="P1820"/>
  <c r="O1820"/>
  <c r="K1820"/>
  <c r="H1820"/>
  <c r="P1819"/>
  <c r="S1819" s="1"/>
  <c r="O1819"/>
  <c r="P1818"/>
  <c r="O1818"/>
  <c r="K1818"/>
  <c r="H1818"/>
  <c r="P1817"/>
  <c r="O1817"/>
  <c r="K1817"/>
  <c r="H1817"/>
  <c r="P1816"/>
  <c r="O1816"/>
  <c r="K1816"/>
  <c r="H1816"/>
  <c r="P1815"/>
  <c r="O1815"/>
  <c r="P1814"/>
  <c r="S1814" s="1"/>
  <c r="O1814"/>
  <c r="K1814"/>
  <c r="H1814"/>
  <c r="P1813"/>
  <c r="O1813"/>
  <c r="K1813"/>
  <c r="H1813"/>
  <c r="P1812"/>
  <c r="O1812"/>
  <c r="K1812"/>
  <c r="H1812"/>
  <c r="P1811"/>
  <c r="O1811"/>
  <c r="P1810"/>
  <c r="S1810" s="1"/>
  <c r="O1810"/>
  <c r="K1810"/>
  <c r="H1810"/>
  <c r="P1809"/>
  <c r="O1809"/>
  <c r="K1809"/>
  <c r="H1809"/>
  <c r="H1808" s="1"/>
  <c r="J1808" s="1"/>
  <c r="P1808"/>
  <c r="O1808"/>
  <c r="P1807"/>
  <c r="O1807"/>
  <c r="K1807"/>
  <c r="H1807"/>
  <c r="P1806"/>
  <c r="S1806" s="1"/>
  <c r="O1806"/>
  <c r="K1806"/>
  <c r="H1806"/>
  <c r="P1805"/>
  <c r="O1805"/>
  <c r="P1804"/>
  <c r="O1804"/>
  <c r="K1804"/>
  <c r="H1804"/>
  <c r="P1803"/>
  <c r="O1803"/>
  <c r="K1803"/>
  <c r="H1803"/>
  <c r="P1802"/>
  <c r="S1802" s="1"/>
  <c r="O1802"/>
  <c r="P1801"/>
  <c r="O1801"/>
  <c r="H1801"/>
  <c r="J1801" s="1"/>
  <c r="P1800"/>
  <c r="O1800"/>
  <c r="H1800"/>
  <c r="J1800" s="1"/>
  <c r="P1799"/>
  <c r="S1799" s="1"/>
  <c r="O1799"/>
  <c r="H1799"/>
  <c r="P1798"/>
  <c r="S1798" s="1"/>
  <c r="O1798"/>
  <c r="H1798"/>
  <c r="P1797"/>
  <c r="S1797" s="1"/>
  <c r="O1797"/>
  <c r="H1797"/>
  <c r="P1796"/>
  <c r="S1796" s="1"/>
  <c r="O1796"/>
  <c r="P1795"/>
  <c r="O1795"/>
  <c r="H1795"/>
  <c r="J1795" s="1"/>
  <c r="P1794"/>
  <c r="S1794" s="1"/>
  <c r="O1794"/>
  <c r="H1794"/>
  <c r="J1794" s="1"/>
  <c r="P1793"/>
  <c r="O1793"/>
  <c r="H1793"/>
  <c r="J1793" s="1"/>
  <c r="P1792"/>
  <c r="O1792"/>
  <c r="H1792"/>
  <c r="J1792" s="1"/>
  <c r="P1791"/>
  <c r="O1791"/>
  <c r="K1791"/>
  <c r="H1791"/>
  <c r="P1790"/>
  <c r="O1790"/>
  <c r="K1790"/>
  <c r="H1790"/>
  <c r="P1789"/>
  <c r="O1789"/>
  <c r="K1789"/>
  <c r="H1789"/>
  <c r="P1788"/>
  <c r="O1788"/>
  <c r="P1787"/>
  <c r="S1787" s="1"/>
  <c r="O1787"/>
  <c r="H1787"/>
  <c r="J1787" s="1"/>
  <c r="P1786"/>
  <c r="O1786"/>
  <c r="H1786"/>
  <c r="J1786" s="1"/>
  <c r="P1785"/>
  <c r="O1785"/>
  <c r="H1785"/>
  <c r="J1785" s="1"/>
  <c r="P1784"/>
  <c r="S1784" s="1"/>
  <c r="O1784"/>
  <c r="H1784"/>
  <c r="J1784" s="1"/>
  <c r="P1783"/>
  <c r="O1783"/>
  <c r="H1783"/>
  <c r="J1783" s="1"/>
  <c r="P1782"/>
  <c r="O1782"/>
  <c r="J1782"/>
  <c r="P1781"/>
  <c r="O1781"/>
  <c r="J1781"/>
  <c r="P1780"/>
  <c r="O1780"/>
  <c r="J1780"/>
  <c r="P1779"/>
  <c r="S1779" s="1"/>
  <c r="J1779"/>
  <c r="P1778"/>
  <c r="S1778" s="1"/>
  <c r="J1778"/>
  <c r="P1777"/>
  <c r="O1777"/>
  <c r="K1777"/>
  <c r="H1777"/>
  <c r="P1776"/>
  <c r="O1776"/>
  <c r="K1776"/>
  <c r="H1776"/>
  <c r="P1775"/>
  <c r="O1775"/>
  <c r="P1774"/>
  <c r="O1774"/>
  <c r="K1774"/>
  <c r="H1774"/>
  <c r="P1773"/>
  <c r="O1773"/>
  <c r="K1773"/>
  <c r="H1773"/>
  <c r="P1772"/>
  <c r="R1773" s="1"/>
  <c r="O1772"/>
  <c r="P1771"/>
  <c r="O1771"/>
  <c r="K1771"/>
  <c r="H1771"/>
  <c r="P1770"/>
  <c r="O1770"/>
  <c r="K1770"/>
  <c r="H1770"/>
  <c r="P1769"/>
  <c r="R1770" s="1"/>
  <c r="O1769"/>
  <c r="P1768"/>
  <c r="O1768"/>
  <c r="K1768"/>
  <c r="H1768"/>
  <c r="P1767"/>
  <c r="O1767"/>
  <c r="K1767"/>
  <c r="H1767"/>
  <c r="P1766"/>
  <c r="O1766"/>
  <c r="P1765"/>
  <c r="O1765"/>
  <c r="K1765"/>
  <c r="H1765"/>
  <c r="P1764"/>
  <c r="O1764"/>
  <c r="K1764"/>
  <c r="H1764"/>
  <c r="P1763"/>
  <c r="R1765" s="1"/>
  <c r="S1765" s="1"/>
  <c r="O1763"/>
  <c r="P1762"/>
  <c r="O1762"/>
  <c r="K1762"/>
  <c r="H1762"/>
  <c r="P1761"/>
  <c r="O1761"/>
  <c r="K1761"/>
  <c r="H1761"/>
  <c r="P1760"/>
  <c r="S1760" s="1"/>
  <c r="O1760"/>
  <c r="P1759"/>
  <c r="O1759"/>
  <c r="K1759"/>
  <c r="H1759"/>
  <c r="P1758"/>
  <c r="O1758"/>
  <c r="K1758"/>
  <c r="H1758"/>
  <c r="P1757"/>
  <c r="S1757" s="1"/>
  <c r="O1757"/>
  <c r="P1756"/>
  <c r="S1756" s="1"/>
  <c r="O1756"/>
  <c r="J1756"/>
  <c r="P1755"/>
  <c r="S1755" s="1"/>
  <c r="O1755"/>
  <c r="J1755"/>
  <c r="P1754"/>
  <c r="S1754" s="1"/>
  <c r="O1754"/>
  <c r="J1754"/>
  <c r="P1753"/>
  <c r="S1753" s="1"/>
  <c r="O1753"/>
  <c r="J1753"/>
  <c r="P1752"/>
  <c r="S1752" s="1"/>
  <c r="O1752"/>
  <c r="J1752"/>
  <c r="P1751"/>
  <c r="S1751" s="1"/>
  <c r="O1751"/>
  <c r="J1751"/>
  <c r="P1750"/>
  <c r="S1750" s="1"/>
  <c r="O1750"/>
  <c r="J1750"/>
  <c r="P1749"/>
  <c r="S1749" s="1"/>
  <c r="O1749"/>
  <c r="J1749"/>
  <c r="P1748"/>
  <c r="S1748" s="1"/>
  <c r="O1748"/>
  <c r="J1748"/>
  <c r="P1747"/>
  <c r="S1747" s="1"/>
  <c r="O1747"/>
  <c r="J1747"/>
  <c r="P1746"/>
  <c r="S1746" s="1"/>
  <c r="O1746"/>
  <c r="J1746"/>
  <c r="P1745"/>
  <c r="S1745" s="1"/>
  <c r="O1745"/>
  <c r="J1745"/>
  <c r="P1744"/>
  <c r="S1744" s="1"/>
  <c r="O1744"/>
  <c r="J1744"/>
  <c r="P1743"/>
  <c r="S1743" s="1"/>
  <c r="O1743"/>
  <c r="J1743"/>
  <c r="P1742"/>
  <c r="S1742" s="1"/>
  <c r="J1742"/>
  <c r="P1741"/>
  <c r="O1741"/>
  <c r="J1741"/>
  <c r="P1739"/>
  <c r="S1739" s="1"/>
  <c r="O1739"/>
  <c r="K1739"/>
  <c r="P1738"/>
  <c r="S1738" s="1"/>
  <c r="O1738"/>
  <c r="K1738"/>
  <c r="P1737"/>
  <c r="S1737" s="1"/>
  <c r="O1737"/>
  <c r="K1737"/>
  <c r="P1736"/>
  <c r="S1736" s="1"/>
  <c r="O1736"/>
  <c r="K1736"/>
  <c r="P1735"/>
  <c r="S1735" s="1"/>
  <c r="O1735"/>
  <c r="K1735"/>
  <c r="P1734"/>
  <c r="S1734" s="1"/>
  <c r="O1734"/>
  <c r="K1734"/>
  <c r="P1733"/>
  <c r="S1733" s="1"/>
  <c r="O1733"/>
  <c r="K1733"/>
  <c r="P1732"/>
  <c r="S1732" s="1"/>
  <c r="O1732"/>
  <c r="K1732"/>
  <c r="P1731"/>
  <c r="S1731" s="1"/>
  <c r="O1731"/>
  <c r="K1731"/>
  <c r="P1730"/>
  <c r="S1730" s="1"/>
  <c r="O1730"/>
  <c r="K1730"/>
  <c r="P1729"/>
  <c r="S1729" s="1"/>
  <c r="O1729"/>
  <c r="K1729"/>
  <c r="P1728"/>
  <c r="S1728" s="1"/>
  <c r="O1728"/>
  <c r="K1728"/>
  <c r="P1727"/>
  <c r="S1727" s="1"/>
  <c r="O1727"/>
  <c r="K1727"/>
  <c r="P1726"/>
  <c r="S1726" s="1"/>
  <c r="O1726"/>
  <c r="K1726"/>
  <c r="P1725"/>
  <c r="S1725" s="1"/>
  <c r="O1725"/>
  <c r="K1725"/>
  <c r="P1724"/>
  <c r="S1724" s="1"/>
  <c r="O1724"/>
  <c r="K1724"/>
  <c r="P1723"/>
  <c r="S1723" s="1"/>
  <c r="O1723"/>
  <c r="K1723"/>
  <c r="P1722"/>
  <c r="S1722" s="1"/>
  <c r="O1722"/>
  <c r="K1722"/>
  <c r="P1721"/>
  <c r="S1721" s="1"/>
  <c r="O1721"/>
  <c r="K1721"/>
  <c r="P1720"/>
  <c r="S1720" s="1"/>
  <c r="O1720"/>
  <c r="K1720"/>
  <c r="P1719"/>
  <c r="S1719" s="1"/>
  <c r="O1719"/>
  <c r="K1719"/>
  <c r="P1718"/>
  <c r="S1718" s="1"/>
  <c r="O1718"/>
  <c r="K1718"/>
  <c r="P1717"/>
  <c r="S1717" s="1"/>
  <c r="O1717"/>
  <c r="K1717"/>
  <c r="P1716"/>
  <c r="S1716" s="1"/>
  <c r="O1716"/>
  <c r="K1716"/>
  <c r="P1715"/>
  <c r="S1715" s="1"/>
  <c r="O1715"/>
  <c r="K1715"/>
  <c r="P1714"/>
  <c r="S1714" s="1"/>
  <c r="O1714"/>
  <c r="K1714"/>
  <c r="P1713"/>
  <c r="S1713" s="1"/>
  <c r="O1713"/>
  <c r="K1713"/>
  <c r="P1712"/>
  <c r="S1712" s="1"/>
  <c r="O1712"/>
  <c r="K1712"/>
  <c r="P1711"/>
  <c r="S1711" s="1"/>
  <c r="O1711"/>
  <c r="K1711"/>
  <c r="P1710"/>
  <c r="S1710" s="1"/>
  <c r="O1710"/>
  <c r="K1710"/>
  <c r="P1709"/>
  <c r="S1709" s="1"/>
  <c r="O1709"/>
  <c r="K1709"/>
  <c r="P1708"/>
  <c r="O1708"/>
  <c r="K1708"/>
  <c r="P1706"/>
  <c r="S1706" s="1"/>
  <c r="O1706"/>
  <c r="J1706"/>
  <c r="P1705"/>
  <c r="S1705" s="1"/>
  <c r="O1705"/>
  <c r="J1705"/>
  <c r="P1704"/>
  <c r="S1704" s="1"/>
  <c r="O1704"/>
  <c r="J1704"/>
  <c r="P1703"/>
  <c r="S1703" s="1"/>
  <c r="O1703"/>
  <c r="H1703"/>
  <c r="J1703" s="1"/>
  <c r="P1702"/>
  <c r="S1702" s="1"/>
  <c r="O1702"/>
  <c r="J1702"/>
  <c r="P1701"/>
  <c r="S1701" s="1"/>
  <c r="O1701"/>
  <c r="J1701"/>
  <c r="P1700"/>
  <c r="S1700" s="1"/>
  <c r="O1700"/>
  <c r="J1700"/>
  <c r="P1699"/>
  <c r="S1699" s="1"/>
  <c r="O1699"/>
  <c r="J1699"/>
  <c r="P1698"/>
  <c r="S1698" s="1"/>
  <c r="O1698"/>
  <c r="J1698"/>
  <c r="P1697"/>
  <c r="S1697" s="1"/>
  <c r="O1697"/>
  <c r="J1697"/>
  <c r="P1696"/>
  <c r="S1696" s="1"/>
  <c r="O1696"/>
  <c r="J1696"/>
  <c r="P1695"/>
  <c r="S1695" s="1"/>
  <c r="O1695"/>
  <c r="H1695"/>
  <c r="J1695" s="1"/>
  <c r="P1694"/>
  <c r="S1694" s="1"/>
  <c r="O1694"/>
  <c r="J1694"/>
  <c r="P1693"/>
  <c r="S1693" s="1"/>
  <c r="O1693"/>
  <c r="H1693"/>
  <c r="J1693" s="1"/>
  <c r="P1692"/>
  <c r="S1692" s="1"/>
  <c r="O1692"/>
  <c r="H1692"/>
  <c r="J1692" s="1"/>
  <c r="P1691"/>
  <c r="S1691" s="1"/>
  <c r="O1691"/>
  <c r="J1691"/>
  <c r="P1690"/>
  <c r="S1690" s="1"/>
  <c r="O1690"/>
  <c r="J1690"/>
  <c r="P1689"/>
  <c r="S1689" s="1"/>
  <c r="O1689"/>
  <c r="J1689"/>
  <c r="P1688"/>
  <c r="S1688" s="1"/>
  <c r="O1688"/>
  <c r="J1688"/>
  <c r="P1687"/>
  <c r="S1687" s="1"/>
  <c r="O1687"/>
  <c r="J1687"/>
  <c r="P1686"/>
  <c r="S1686" s="1"/>
  <c r="O1686"/>
  <c r="J1686"/>
  <c r="P1685"/>
  <c r="S1685" s="1"/>
  <c r="O1685"/>
  <c r="J1685"/>
  <c r="P1684"/>
  <c r="S1684" s="1"/>
  <c r="O1684"/>
  <c r="J1684"/>
  <c r="P1683"/>
  <c r="S1683" s="1"/>
  <c r="O1683"/>
  <c r="J1683"/>
  <c r="P1682"/>
  <c r="S1682" s="1"/>
  <c r="O1682"/>
  <c r="J1682"/>
  <c r="P1681"/>
  <c r="O1681"/>
  <c r="H1681"/>
  <c r="P1680"/>
  <c r="O1680"/>
  <c r="H1680"/>
  <c r="P1679"/>
  <c r="O1679"/>
  <c r="H1679"/>
  <c r="P1678"/>
  <c r="O1678"/>
  <c r="P1677"/>
  <c r="O1677"/>
  <c r="H1677"/>
  <c r="P1676"/>
  <c r="O1676"/>
  <c r="H1676"/>
  <c r="P1675"/>
  <c r="O1675"/>
  <c r="H1675"/>
  <c r="P1674"/>
  <c r="R1676" s="1"/>
  <c r="O1674"/>
  <c r="P1673"/>
  <c r="O1673"/>
  <c r="H1673"/>
  <c r="P1672"/>
  <c r="O1672"/>
  <c r="H1672"/>
  <c r="P1671"/>
  <c r="O1671"/>
  <c r="H1671"/>
  <c r="P1670"/>
  <c r="O1670"/>
  <c r="P1669"/>
  <c r="O1669"/>
  <c r="H1669"/>
  <c r="P1668"/>
  <c r="O1668"/>
  <c r="H1668"/>
  <c r="P1667"/>
  <c r="O1667"/>
  <c r="H1667"/>
  <c r="P1666"/>
  <c r="R1668" s="1"/>
  <c r="O1666"/>
  <c r="P1665"/>
  <c r="O1665"/>
  <c r="H1665"/>
  <c r="P1664"/>
  <c r="O1664"/>
  <c r="H1664"/>
  <c r="P1663"/>
  <c r="O1663"/>
  <c r="H1663"/>
  <c r="P1662"/>
  <c r="R1664" s="1"/>
  <c r="O1662"/>
  <c r="P1661"/>
  <c r="S1661" s="1"/>
  <c r="O1661"/>
  <c r="H1661"/>
  <c r="J1661" s="1"/>
  <c r="P1660"/>
  <c r="S1660" s="1"/>
  <c r="O1660"/>
  <c r="G1660"/>
  <c r="H1660" s="1"/>
  <c r="J1660" s="1"/>
  <c r="P1659"/>
  <c r="S1659" s="1"/>
  <c r="O1659"/>
  <c r="H1659"/>
  <c r="J1659" s="1"/>
  <c r="P1658"/>
  <c r="S1658" s="1"/>
  <c r="O1658"/>
  <c r="H1658"/>
  <c r="J1658" s="1"/>
  <c r="P1657"/>
  <c r="S1657" s="1"/>
  <c r="O1657"/>
  <c r="H1657"/>
  <c r="P1656"/>
  <c r="S1656" s="1"/>
  <c r="O1656"/>
  <c r="H1656"/>
  <c r="P1655"/>
  <c r="S1655" s="1"/>
  <c r="O1655"/>
  <c r="H1655"/>
  <c r="P1654"/>
  <c r="S1654" s="1"/>
  <c r="O1654"/>
  <c r="P1653"/>
  <c r="S1653" s="1"/>
  <c r="O1653"/>
  <c r="H1653"/>
  <c r="J1653" s="1"/>
  <c r="P1652"/>
  <c r="S1652" s="1"/>
  <c r="O1652"/>
  <c r="H1652"/>
  <c r="J1652" s="1"/>
  <c r="P1651"/>
  <c r="S1651" s="1"/>
  <c r="O1651"/>
  <c r="H1651"/>
  <c r="J1651" s="1"/>
  <c r="G1651"/>
  <c r="P1650"/>
  <c r="S1650" s="1"/>
  <c r="O1650"/>
  <c r="H1650"/>
  <c r="J1650" s="1"/>
  <c r="G1650"/>
  <c r="P1649"/>
  <c r="S1649" s="1"/>
  <c r="O1649"/>
  <c r="J1649"/>
  <c r="P1648"/>
  <c r="S1648" s="1"/>
  <c r="O1648"/>
  <c r="H1648"/>
  <c r="J1648" s="1"/>
  <c r="P1647"/>
  <c r="S1647" s="1"/>
  <c r="O1647"/>
  <c r="H1647"/>
  <c r="J1647" s="1"/>
  <c r="P1646"/>
  <c r="O1646"/>
  <c r="H1646"/>
  <c r="J1646" s="1"/>
  <c r="P1644"/>
  <c r="S1644" s="1"/>
  <c r="O1644"/>
  <c r="K1644"/>
  <c r="P1643"/>
  <c r="S1643" s="1"/>
  <c r="O1643"/>
  <c r="K1643"/>
  <c r="P1642"/>
  <c r="S1642" s="1"/>
  <c r="O1642"/>
  <c r="K1642"/>
  <c r="P1641"/>
  <c r="S1641" s="1"/>
  <c r="O1641"/>
  <c r="K1641"/>
  <c r="P1640"/>
  <c r="S1640" s="1"/>
  <c r="O1640"/>
  <c r="K1640"/>
  <c r="P1639"/>
  <c r="S1639" s="1"/>
  <c r="O1639"/>
  <c r="K1639"/>
  <c r="P1638"/>
  <c r="S1638" s="1"/>
  <c r="O1638"/>
  <c r="K1638"/>
  <c r="P1637"/>
  <c r="S1637" s="1"/>
  <c r="O1637"/>
  <c r="K1637"/>
  <c r="P1636"/>
  <c r="S1636" s="1"/>
  <c r="O1636"/>
  <c r="K1636"/>
  <c r="P1635"/>
  <c r="S1635" s="1"/>
  <c r="O1635"/>
  <c r="K1635"/>
  <c r="P1634"/>
  <c r="S1634" s="1"/>
  <c r="O1634"/>
  <c r="K1634"/>
  <c r="P1633"/>
  <c r="S1633" s="1"/>
  <c r="O1633"/>
  <c r="K1633"/>
  <c r="P1632"/>
  <c r="S1632" s="1"/>
  <c r="O1632"/>
  <c r="K1632"/>
  <c r="P1631"/>
  <c r="S1631" s="1"/>
  <c r="O1631"/>
  <c r="K1631"/>
  <c r="P1630"/>
  <c r="S1630" s="1"/>
  <c r="O1630"/>
  <c r="K1630"/>
  <c r="P1629"/>
  <c r="S1629" s="1"/>
  <c r="O1629"/>
  <c r="K1629"/>
  <c r="P1628"/>
  <c r="S1628" s="1"/>
  <c r="O1628"/>
  <c r="K1628"/>
  <c r="P1627"/>
  <c r="S1627" s="1"/>
  <c r="O1627"/>
  <c r="K1627"/>
  <c r="P1626"/>
  <c r="S1626" s="1"/>
  <c r="O1626"/>
  <c r="K1626"/>
  <c r="P1625"/>
  <c r="S1625" s="1"/>
  <c r="O1625"/>
  <c r="K1625"/>
  <c r="P1624"/>
  <c r="S1624" s="1"/>
  <c r="O1624"/>
  <c r="K1624"/>
  <c r="P1623"/>
  <c r="S1623" s="1"/>
  <c r="O1623"/>
  <c r="K1623"/>
  <c r="P1622"/>
  <c r="S1622" s="1"/>
  <c r="O1622"/>
  <c r="K1622"/>
  <c r="P1621"/>
  <c r="S1621" s="1"/>
  <c r="O1621"/>
  <c r="K1621"/>
  <c r="P1620"/>
  <c r="S1620" s="1"/>
  <c r="O1620"/>
  <c r="K1620"/>
  <c r="P1619"/>
  <c r="S1619" s="1"/>
  <c r="O1619"/>
  <c r="K1619"/>
  <c r="P1618"/>
  <c r="S1618" s="1"/>
  <c r="O1618"/>
  <c r="K1618"/>
  <c r="P1617"/>
  <c r="S1617" s="1"/>
  <c r="O1617"/>
  <c r="K1617"/>
  <c r="P1616"/>
  <c r="S1616" s="1"/>
  <c r="O1616"/>
  <c r="K1616"/>
  <c r="P1615"/>
  <c r="S1615" s="1"/>
  <c r="O1615"/>
  <c r="K1615"/>
  <c r="P1614"/>
  <c r="S1614" s="1"/>
  <c r="O1614"/>
  <c r="K1614"/>
  <c r="P1613"/>
  <c r="O1613"/>
  <c r="K1613"/>
  <c r="P1611"/>
  <c r="S1611" s="1"/>
  <c r="O1611"/>
  <c r="J1611"/>
  <c r="P1610"/>
  <c r="S1610" s="1"/>
  <c r="O1610"/>
  <c r="J1610"/>
  <c r="P1609"/>
  <c r="S1609" s="1"/>
  <c r="O1609"/>
  <c r="J1609"/>
  <c r="P1608"/>
  <c r="S1608" s="1"/>
  <c r="O1608"/>
  <c r="J1608"/>
  <c r="P1607"/>
  <c r="S1607" s="1"/>
  <c r="O1607"/>
  <c r="J1607"/>
  <c r="P1606"/>
  <c r="S1606" s="1"/>
  <c r="O1606"/>
  <c r="J1606"/>
  <c r="P1605"/>
  <c r="S1605" s="1"/>
  <c r="O1605"/>
  <c r="J1605"/>
  <c r="P1604"/>
  <c r="S1604" s="1"/>
  <c r="O1604"/>
  <c r="J1604"/>
  <c r="P1603"/>
  <c r="S1603" s="1"/>
  <c r="O1603"/>
  <c r="J1603"/>
  <c r="P1602"/>
  <c r="S1602" s="1"/>
  <c r="O1602"/>
  <c r="J1602"/>
  <c r="P1601"/>
  <c r="S1601" s="1"/>
  <c r="O1601"/>
  <c r="J1601"/>
  <c r="P1600"/>
  <c r="S1600" s="1"/>
  <c r="O1600"/>
  <c r="J1600"/>
  <c r="P1599"/>
  <c r="S1599" s="1"/>
  <c r="O1599"/>
  <c r="J1599"/>
  <c r="P1598"/>
  <c r="S1598" s="1"/>
  <c r="O1598"/>
  <c r="J1598"/>
  <c r="P1597"/>
  <c r="S1597" s="1"/>
  <c r="O1597"/>
  <c r="J1597"/>
  <c r="P1596"/>
  <c r="S1596" s="1"/>
  <c r="O1596"/>
  <c r="J1596"/>
  <c r="P1595"/>
  <c r="S1595" s="1"/>
  <c r="O1595"/>
  <c r="J1595"/>
  <c r="P1594"/>
  <c r="S1594" s="1"/>
  <c r="O1594"/>
  <c r="J1594"/>
  <c r="P1593"/>
  <c r="S1593" s="1"/>
  <c r="O1593"/>
  <c r="J1593"/>
  <c r="P1592"/>
  <c r="S1592" s="1"/>
  <c r="O1592"/>
  <c r="J1592"/>
  <c r="P1591"/>
  <c r="S1591" s="1"/>
  <c r="O1591"/>
  <c r="J1591"/>
  <c r="P1590"/>
  <c r="S1590" s="1"/>
  <c r="O1590"/>
  <c r="J1590"/>
  <c r="P1589"/>
  <c r="S1589" s="1"/>
  <c r="O1589"/>
  <c r="J1589"/>
  <c r="P1588"/>
  <c r="S1588" s="1"/>
  <c r="O1588"/>
  <c r="J1588"/>
  <c r="P1587"/>
  <c r="S1587" s="1"/>
  <c r="O1587"/>
  <c r="J1587"/>
  <c r="P1586"/>
  <c r="S1586" s="1"/>
  <c r="O1586"/>
  <c r="J1586"/>
  <c r="P1585"/>
  <c r="S1585" s="1"/>
  <c r="O1585"/>
  <c r="J1585"/>
  <c r="P1584"/>
  <c r="S1584" s="1"/>
  <c r="O1584"/>
  <c r="J1584"/>
  <c r="P1583"/>
  <c r="S1583" s="1"/>
  <c r="O1583"/>
  <c r="J1583"/>
  <c r="P1582"/>
  <c r="S1582" s="1"/>
  <c r="O1582"/>
  <c r="J1582"/>
  <c r="P1581"/>
  <c r="S1581" s="1"/>
  <c r="O1581"/>
  <c r="J1581"/>
  <c r="P1580"/>
  <c r="S1580" s="1"/>
  <c r="O1580"/>
  <c r="J1580"/>
  <c r="P1579"/>
  <c r="S1579" s="1"/>
  <c r="O1579"/>
  <c r="J1579"/>
  <c r="P1578"/>
  <c r="S1578" s="1"/>
  <c r="O1578"/>
  <c r="J1578"/>
  <c r="P1577"/>
  <c r="S1577" s="1"/>
  <c r="O1577"/>
  <c r="J1577"/>
  <c r="P1576"/>
  <c r="S1576" s="1"/>
  <c r="O1576"/>
  <c r="J1576"/>
  <c r="P1575"/>
  <c r="S1575" s="1"/>
  <c r="O1575"/>
  <c r="J1575"/>
  <c r="P1574"/>
  <c r="S1574" s="1"/>
  <c r="O1574"/>
  <c r="J1574"/>
  <c r="P1573"/>
  <c r="S1573" s="1"/>
  <c r="O1573"/>
  <c r="J1573"/>
  <c r="P1572"/>
  <c r="S1572" s="1"/>
  <c r="O1572"/>
  <c r="J1572"/>
  <c r="P1571"/>
  <c r="S1571" s="1"/>
  <c r="O1571"/>
  <c r="J1571"/>
  <c r="P1570"/>
  <c r="S1570" s="1"/>
  <c r="O1570"/>
  <c r="J1570"/>
  <c r="P1569"/>
  <c r="S1569" s="1"/>
  <c r="O1569"/>
  <c r="J1569"/>
  <c r="P1568"/>
  <c r="S1568" s="1"/>
  <c r="O1568"/>
  <c r="J1568"/>
  <c r="P1567"/>
  <c r="S1567" s="1"/>
  <c r="O1567"/>
  <c r="J1567"/>
  <c r="P1566"/>
  <c r="S1566" s="1"/>
  <c r="O1566"/>
  <c r="J1566"/>
  <c r="P1565"/>
  <c r="S1565" s="1"/>
  <c r="O1565"/>
  <c r="J1565"/>
  <c r="P1564"/>
  <c r="S1564" s="1"/>
  <c r="O1564"/>
  <c r="J1564"/>
  <c r="P1563"/>
  <c r="S1563" s="1"/>
  <c r="O1563"/>
  <c r="J1563"/>
  <c r="P1562"/>
  <c r="S1562" s="1"/>
  <c r="O1562"/>
  <c r="J1562"/>
  <c r="P1561"/>
  <c r="S1561" s="1"/>
  <c r="O1561"/>
  <c r="J1561"/>
  <c r="P1560"/>
  <c r="S1560" s="1"/>
  <c r="O1560"/>
  <c r="J1560"/>
  <c r="P1559"/>
  <c r="S1559" s="1"/>
  <c r="O1559"/>
  <c r="J1559"/>
  <c r="P1558"/>
  <c r="S1558" s="1"/>
  <c r="O1558"/>
  <c r="J1558"/>
  <c r="P1557"/>
  <c r="S1557" s="1"/>
  <c r="O1557"/>
  <c r="J1557"/>
  <c r="P1556"/>
  <c r="S1556" s="1"/>
  <c r="O1556"/>
  <c r="J1556"/>
  <c r="P1555"/>
  <c r="S1555" s="1"/>
  <c r="O1555"/>
  <c r="J1555"/>
  <c r="P1554"/>
  <c r="S1554" s="1"/>
  <c r="O1554"/>
  <c r="J1554"/>
  <c r="P1553"/>
  <c r="S1553" s="1"/>
  <c r="O1553"/>
  <c r="J1553"/>
  <c r="P1552"/>
  <c r="S1552" s="1"/>
  <c r="O1552"/>
  <c r="J1552"/>
  <c r="P1551"/>
  <c r="S1551" s="1"/>
  <c r="O1551"/>
  <c r="J1551"/>
  <c r="P1550"/>
  <c r="S1550" s="1"/>
  <c r="O1550"/>
  <c r="J1550"/>
  <c r="P1549"/>
  <c r="S1549" s="1"/>
  <c r="O1549"/>
  <c r="J1549"/>
  <c r="P1548"/>
  <c r="S1548" s="1"/>
  <c r="O1548"/>
  <c r="J1548"/>
  <c r="P1547"/>
  <c r="S1547" s="1"/>
  <c r="O1547"/>
  <c r="J1547"/>
  <c r="P1546"/>
  <c r="S1546" s="1"/>
  <c r="O1546"/>
  <c r="J1546"/>
  <c r="P1545"/>
  <c r="S1545" s="1"/>
  <c r="O1545"/>
  <c r="J1545"/>
  <c r="P1544"/>
  <c r="S1544" s="1"/>
  <c r="O1544"/>
  <c r="J1544"/>
  <c r="P1543"/>
  <c r="S1543" s="1"/>
  <c r="O1543"/>
  <c r="J1543"/>
  <c r="P1542"/>
  <c r="S1542" s="1"/>
  <c r="O1542"/>
  <c r="J1542"/>
  <c r="P1541"/>
  <c r="S1541" s="1"/>
  <c r="O1541"/>
  <c r="J1541"/>
  <c r="P1540"/>
  <c r="S1540" s="1"/>
  <c r="O1540"/>
  <c r="J1540"/>
  <c r="P1539"/>
  <c r="S1539" s="1"/>
  <c r="O1539"/>
  <c r="J1539"/>
  <c r="P1538"/>
  <c r="S1538" s="1"/>
  <c r="O1538"/>
  <c r="J1538"/>
  <c r="P1537"/>
  <c r="S1537" s="1"/>
  <c r="O1537"/>
  <c r="J1537"/>
  <c r="P1536"/>
  <c r="S1536" s="1"/>
  <c r="O1536"/>
  <c r="J1536"/>
  <c r="P1535"/>
  <c r="S1535" s="1"/>
  <c r="O1535"/>
  <c r="J1535"/>
  <c r="P1534"/>
  <c r="S1534" s="1"/>
  <c r="O1534"/>
  <c r="J1534"/>
  <c r="P1533"/>
  <c r="S1533" s="1"/>
  <c r="O1533"/>
  <c r="J1533"/>
  <c r="P1532"/>
  <c r="S1532" s="1"/>
  <c r="O1532"/>
  <c r="J1532"/>
  <c r="P1531"/>
  <c r="S1531" s="1"/>
  <c r="O1531"/>
  <c r="J1531"/>
  <c r="P1530"/>
  <c r="S1530" s="1"/>
  <c r="O1530"/>
  <c r="J1530"/>
  <c r="P1529"/>
  <c r="S1529" s="1"/>
  <c r="O1529"/>
  <c r="J1529"/>
  <c r="P1528"/>
  <c r="S1528" s="1"/>
  <c r="O1528"/>
  <c r="J1528"/>
  <c r="P1527"/>
  <c r="S1527" s="1"/>
  <c r="O1527"/>
  <c r="J1527"/>
  <c r="P1526"/>
  <c r="S1526" s="1"/>
  <c r="O1526"/>
  <c r="J1526"/>
  <c r="P1525"/>
  <c r="S1525" s="1"/>
  <c r="O1525"/>
  <c r="J1525"/>
  <c r="P1524"/>
  <c r="S1524" s="1"/>
  <c r="O1524"/>
  <c r="J1524"/>
  <c r="P1523"/>
  <c r="S1523" s="1"/>
  <c r="O1523"/>
  <c r="J1523"/>
  <c r="P1522"/>
  <c r="S1522" s="1"/>
  <c r="O1522"/>
  <c r="J1522"/>
  <c r="P1521"/>
  <c r="S1521" s="1"/>
  <c r="O1521"/>
  <c r="J1521"/>
  <c r="P1520"/>
  <c r="S1520" s="1"/>
  <c r="O1520"/>
  <c r="J1520"/>
  <c r="P1519"/>
  <c r="S1519" s="1"/>
  <c r="O1519"/>
  <c r="J1519"/>
  <c r="P1518"/>
  <c r="S1518" s="1"/>
  <c r="O1518"/>
  <c r="J1518"/>
  <c r="P1517"/>
  <c r="S1517" s="1"/>
  <c r="O1517"/>
  <c r="J1517"/>
  <c r="P1516"/>
  <c r="S1516" s="1"/>
  <c r="O1516"/>
  <c r="J1516"/>
  <c r="P1515"/>
  <c r="S1515" s="1"/>
  <c r="O1515"/>
  <c r="J1515"/>
  <c r="P1514"/>
  <c r="S1514" s="1"/>
  <c r="O1514"/>
  <c r="J1514"/>
  <c r="P1513"/>
  <c r="S1513" s="1"/>
  <c r="O1513"/>
  <c r="J1513"/>
  <c r="P1512"/>
  <c r="S1512" s="1"/>
  <c r="O1512"/>
  <c r="J1512"/>
  <c r="P1511"/>
  <c r="S1511" s="1"/>
  <c r="O1511"/>
  <c r="J1511"/>
  <c r="P1510"/>
  <c r="S1510" s="1"/>
  <c r="O1510"/>
  <c r="J1510"/>
  <c r="P1509"/>
  <c r="S1509" s="1"/>
  <c r="O1509"/>
  <c r="J1509"/>
  <c r="P1508"/>
  <c r="S1508" s="1"/>
  <c r="O1508"/>
  <c r="J1508"/>
  <c r="P1507"/>
  <c r="S1507" s="1"/>
  <c r="O1507"/>
  <c r="J1507"/>
  <c r="P1506"/>
  <c r="S1506" s="1"/>
  <c r="O1506"/>
  <c r="J1506"/>
  <c r="P1505"/>
  <c r="S1505" s="1"/>
  <c r="O1505"/>
  <c r="J1505"/>
  <c r="P1504"/>
  <c r="S1504" s="1"/>
  <c r="O1504"/>
  <c r="J1504"/>
  <c r="P1503"/>
  <c r="S1503" s="1"/>
  <c r="O1503"/>
  <c r="J1503"/>
  <c r="P1502"/>
  <c r="S1502" s="1"/>
  <c r="O1502"/>
  <c r="J1502"/>
  <c r="P1501"/>
  <c r="S1501" s="1"/>
  <c r="O1501"/>
  <c r="J1501"/>
  <c r="P1500"/>
  <c r="S1500" s="1"/>
  <c r="O1500"/>
  <c r="J1500"/>
  <c r="P1499"/>
  <c r="S1499" s="1"/>
  <c r="O1499"/>
  <c r="J1499"/>
  <c r="P1498"/>
  <c r="S1498" s="1"/>
  <c r="O1498"/>
  <c r="J1498"/>
  <c r="P1497"/>
  <c r="S1497" s="1"/>
  <c r="O1497"/>
  <c r="J1497"/>
  <c r="P1496"/>
  <c r="S1496" s="1"/>
  <c r="O1496"/>
  <c r="J1496"/>
  <c r="P1495"/>
  <c r="S1495" s="1"/>
  <c r="O1495"/>
  <c r="J1495"/>
  <c r="P1494"/>
  <c r="S1494" s="1"/>
  <c r="O1494"/>
  <c r="J1494"/>
  <c r="P1493"/>
  <c r="S1493" s="1"/>
  <c r="O1493"/>
  <c r="J1493"/>
  <c r="P1492"/>
  <c r="S1492" s="1"/>
  <c r="O1492"/>
  <c r="J1492"/>
  <c r="P1491"/>
  <c r="S1491" s="1"/>
  <c r="O1491"/>
  <c r="J1491"/>
  <c r="P1490"/>
  <c r="S1490" s="1"/>
  <c r="O1490"/>
  <c r="J1490"/>
  <c r="P1489"/>
  <c r="S1489" s="1"/>
  <c r="O1489"/>
  <c r="J1489"/>
  <c r="P1488"/>
  <c r="S1488" s="1"/>
  <c r="O1488"/>
  <c r="J1488"/>
  <c r="P1487"/>
  <c r="S1487" s="1"/>
  <c r="O1487"/>
  <c r="J1487"/>
  <c r="P1486"/>
  <c r="S1486" s="1"/>
  <c r="O1486"/>
  <c r="J1486"/>
  <c r="P1485"/>
  <c r="S1485" s="1"/>
  <c r="O1485"/>
  <c r="J1485"/>
  <c r="P1484"/>
  <c r="S1484" s="1"/>
  <c r="O1484"/>
  <c r="J1484"/>
  <c r="P1483"/>
  <c r="S1483" s="1"/>
  <c r="O1483"/>
  <c r="J1483"/>
  <c r="P1482"/>
  <c r="S1482" s="1"/>
  <c r="O1482"/>
  <c r="J1482"/>
  <c r="P1481"/>
  <c r="S1481" s="1"/>
  <c r="O1481"/>
  <c r="J1481"/>
  <c r="P1480"/>
  <c r="S1480" s="1"/>
  <c r="O1480"/>
  <c r="J1480"/>
  <c r="P1479"/>
  <c r="S1479" s="1"/>
  <c r="O1479"/>
  <c r="J1479"/>
  <c r="P1478"/>
  <c r="S1478" s="1"/>
  <c r="O1478"/>
  <c r="J1478"/>
  <c r="P1477"/>
  <c r="S1477" s="1"/>
  <c r="O1477"/>
  <c r="J1477"/>
  <c r="P1476"/>
  <c r="S1476" s="1"/>
  <c r="O1476"/>
  <c r="J1476"/>
  <c r="P1475"/>
  <c r="S1475" s="1"/>
  <c r="O1475"/>
  <c r="J1475"/>
  <c r="P1474"/>
  <c r="S1474" s="1"/>
  <c r="O1474"/>
  <c r="J1474"/>
  <c r="P1473"/>
  <c r="S1473" s="1"/>
  <c r="O1473"/>
  <c r="J1473"/>
  <c r="P1472"/>
  <c r="S1472" s="1"/>
  <c r="O1472"/>
  <c r="J1472"/>
  <c r="P1471"/>
  <c r="S1471" s="1"/>
  <c r="O1471"/>
  <c r="J1471"/>
  <c r="P1470"/>
  <c r="S1470" s="1"/>
  <c r="O1470"/>
  <c r="J1470"/>
  <c r="P1469"/>
  <c r="S1469" s="1"/>
  <c r="O1469"/>
  <c r="J1469"/>
  <c r="P1468"/>
  <c r="S1468" s="1"/>
  <c r="O1468"/>
  <c r="J1468"/>
  <c r="P1467"/>
  <c r="S1467" s="1"/>
  <c r="O1467"/>
  <c r="J1467"/>
  <c r="P1466"/>
  <c r="S1466" s="1"/>
  <c r="O1466"/>
  <c r="J1466"/>
  <c r="P1465"/>
  <c r="S1465" s="1"/>
  <c r="O1465"/>
  <c r="J1465"/>
  <c r="P1464"/>
  <c r="S1464" s="1"/>
  <c r="O1464"/>
  <c r="J1464"/>
  <c r="P1463"/>
  <c r="S1463" s="1"/>
  <c r="O1463"/>
  <c r="J1463"/>
  <c r="P1462"/>
  <c r="S1462" s="1"/>
  <c r="O1462"/>
  <c r="J1462"/>
  <c r="P1461"/>
  <c r="S1461" s="1"/>
  <c r="O1461"/>
  <c r="J1461"/>
  <c r="P1460"/>
  <c r="S1460" s="1"/>
  <c r="O1460"/>
  <c r="J1460"/>
  <c r="P1459"/>
  <c r="S1459" s="1"/>
  <c r="O1459"/>
  <c r="J1459"/>
  <c r="P1458"/>
  <c r="S1458" s="1"/>
  <c r="O1458"/>
  <c r="J1458"/>
  <c r="P1457"/>
  <c r="S1457" s="1"/>
  <c r="O1457"/>
  <c r="J1457"/>
  <c r="P1456"/>
  <c r="S1456" s="1"/>
  <c r="O1456"/>
  <c r="J1456"/>
  <c r="P1455"/>
  <c r="S1455" s="1"/>
  <c r="O1455"/>
  <c r="J1455"/>
  <c r="P1454"/>
  <c r="S1454" s="1"/>
  <c r="O1454"/>
  <c r="J1454"/>
  <c r="P1453"/>
  <c r="S1453" s="1"/>
  <c r="O1453"/>
  <c r="J1453"/>
  <c r="P1452"/>
  <c r="S1452" s="1"/>
  <c r="O1452"/>
  <c r="J1452"/>
  <c r="P1451"/>
  <c r="S1451" s="1"/>
  <c r="O1451"/>
  <c r="J1451"/>
  <c r="P1450"/>
  <c r="S1450" s="1"/>
  <c r="O1450"/>
  <c r="J1450"/>
  <c r="P1449"/>
  <c r="S1449" s="1"/>
  <c r="O1449"/>
  <c r="J1449"/>
  <c r="P1448"/>
  <c r="S1448" s="1"/>
  <c r="O1448"/>
  <c r="J1448"/>
  <c r="P1447"/>
  <c r="S1447" s="1"/>
  <c r="O1447"/>
  <c r="J1447"/>
  <c r="P1446"/>
  <c r="S1446" s="1"/>
  <c r="O1446"/>
  <c r="J1446"/>
  <c r="P1445"/>
  <c r="S1445" s="1"/>
  <c r="O1445"/>
  <c r="J1445"/>
  <c r="P1444"/>
  <c r="S1444" s="1"/>
  <c r="O1444"/>
  <c r="J1444"/>
  <c r="P1443"/>
  <c r="S1443" s="1"/>
  <c r="O1443"/>
  <c r="J1443"/>
  <c r="P1442"/>
  <c r="S1442" s="1"/>
  <c r="O1442"/>
  <c r="J1442"/>
  <c r="P1441"/>
  <c r="S1441" s="1"/>
  <c r="O1441"/>
  <c r="J1441"/>
  <c r="P1440"/>
  <c r="S1440" s="1"/>
  <c r="O1440"/>
  <c r="J1440"/>
  <c r="P1439"/>
  <c r="S1439" s="1"/>
  <c r="O1439"/>
  <c r="J1439"/>
  <c r="P1438"/>
  <c r="S1438" s="1"/>
  <c r="O1438"/>
  <c r="J1438"/>
  <c r="P1437"/>
  <c r="S1437" s="1"/>
  <c r="O1437"/>
  <c r="J1437"/>
  <c r="P1436"/>
  <c r="S1436" s="1"/>
  <c r="O1436"/>
  <c r="J1436"/>
  <c r="P1435"/>
  <c r="S1435" s="1"/>
  <c r="O1435"/>
  <c r="J1435"/>
  <c r="P1434"/>
  <c r="S1434" s="1"/>
  <c r="O1434"/>
  <c r="J1434"/>
  <c r="P1433"/>
  <c r="S1433" s="1"/>
  <c r="O1433"/>
  <c r="J1433"/>
  <c r="P1432"/>
  <c r="S1432" s="1"/>
  <c r="O1432"/>
  <c r="J1432"/>
  <c r="P1431"/>
  <c r="S1431" s="1"/>
  <c r="O1431"/>
  <c r="J1431"/>
  <c r="P1430"/>
  <c r="S1430" s="1"/>
  <c r="O1430"/>
  <c r="J1430"/>
  <c r="P1429"/>
  <c r="S1429" s="1"/>
  <c r="O1429"/>
  <c r="J1429"/>
  <c r="P1428"/>
  <c r="S1428" s="1"/>
  <c r="O1428"/>
  <c r="J1428"/>
  <c r="P1427"/>
  <c r="S1427" s="1"/>
  <c r="O1427"/>
  <c r="J1427"/>
  <c r="P1426"/>
  <c r="S1426" s="1"/>
  <c r="O1426"/>
  <c r="J1426"/>
  <c r="P1425"/>
  <c r="S1425" s="1"/>
  <c r="O1425"/>
  <c r="J1425"/>
  <c r="P1424"/>
  <c r="S1424" s="1"/>
  <c r="O1424"/>
  <c r="J1424"/>
  <c r="P1423"/>
  <c r="S1423" s="1"/>
  <c r="O1423"/>
  <c r="J1423"/>
  <c r="P1422"/>
  <c r="S1422" s="1"/>
  <c r="O1422"/>
  <c r="J1422"/>
  <c r="P1421"/>
  <c r="S1421" s="1"/>
  <c r="O1421"/>
  <c r="J1421"/>
  <c r="P1420"/>
  <c r="S1420" s="1"/>
  <c r="O1420"/>
  <c r="J1420"/>
  <c r="P1419"/>
  <c r="S1419" s="1"/>
  <c r="O1419"/>
  <c r="J1419"/>
  <c r="P1418"/>
  <c r="S1418" s="1"/>
  <c r="O1418"/>
  <c r="J1418"/>
  <c r="P1417"/>
  <c r="S1417" s="1"/>
  <c r="O1417"/>
  <c r="J1417"/>
  <c r="P1416"/>
  <c r="S1416" s="1"/>
  <c r="O1416"/>
  <c r="J1416"/>
  <c r="P1415"/>
  <c r="S1415" s="1"/>
  <c r="O1415"/>
  <c r="J1415"/>
  <c r="P1414"/>
  <c r="S1414" s="1"/>
  <c r="O1414"/>
  <c r="J1414"/>
  <c r="P1413"/>
  <c r="S1413" s="1"/>
  <c r="O1413"/>
  <c r="J1413"/>
  <c r="P1412"/>
  <c r="S1412" s="1"/>
  <c r="O1412"/>
  <c r="J1412"/>
  <c r="P1411"/>
  <c r="S1411" s="1"/>
  <c r="O1411"/>
  <c r="J1411"/>
  <c r="P1410"/>
  <c r="S1410" s="1"/>
  <c r="O1410"/>
  <c r="J1410"/>
  <c r="P1409"/>
  <c r="S1409" s="1"/>
  <c r="O1409"/>
  <c r="J1409"/>
  <c r="P1408"/>
  <c r="S1408" s="1"/>
  <c r="O1408"/>
  <c r="J1408"/>
  <c r="P1407"/>
  <c r="S1407" s="1"/>
  <c r="O1407"/>
  <c r="J1407"/>
  <c r="P1406"/>
  <c r="S1406" s="1"/>
  <c r="O1406"/>
  <c r="J1406"/>
  <c r="P1405"/>
  <c r="S1405" s="1"/>
  <c r="O1405"/>
  <c r="J1405"/>
  <c r="P1404"/>
  <c r="S1404" s="1"/>
  <c r="O1404"/>
  <c r="J1404"/>
  <c r="P1403"/>
  <c r="S1403" s="1"/>
  <c r="O1403"/>
  <c r="J1403"/>
  <c r="P1402"/>
  <c r="S1402" s="1"/>
  <c r="O1402"/>
  <c r="J1402"/>
  <c r="P1401"/>
  <c r="S1401" s="1"/>
  <c r="O1401"/>
  <c r="J1401"/>
  <c r="P1400"/>
  <c r="S1400" s="1"/>
  <c r="O1400"/>
  <c r="J1400"/>
  <c r="P1399"/>
  <c r="S1399" s="1"/>
  <c r="O1399"/>
  <c r="J1399"/>
  <c r="P1398"/>
  <c r="S1398" s="1"/>
  <c r="O1398"/>
  <c r="J1398"/>
  <c r="P1397"/>
  <c r="S1397" s="1"/>
  <c r="O1397"/>
  <c r="J1397"/>
  <c r="P1396"/>
  <c r="S1396" s="1"/>
  <c r="O1396"/>
  <c r="J1396"/>
  <c r="P1395"/>
  <c r="S1395" s="1"/>
  <c r="O1395"/>
  <c r="J1395"/>
  <c r="P1394"/>
  <c r="S1394" s="1"/>
  <c r="O1394"/>
  <c r="J1394"/>
  <c r="P1393"/>
  <c r="S1393" s="1"/>
  <c r="O1393"/>
  <c r="J1393"/>
  <c r="P1392"/>
  <c r="S1392" s="1"/>
  <c r="O1392"/>
  <c r="J1392"/>
  <c r="P1391"/>
  <c r="S1391" s="1"/>
  <c r="O1391"/>
  <c r="J1391"/>
  <c r="P1390"/>
  <c r="S1390" s="1"/>
  <c r="O1390"/>
  <c r="J1390"/>
  <c r="P1389"/>
  <c r="S1389" s="1"/>
  <c r="O1389"/>
  <c r="J1389"/>
  <c r="P1388"/>
  <c r="S1388" s="1"/>
  <c r="O1388"/>
  <c r="J1388"/>
  <c r="P1387"/>
  <c r="S1387" s="1"/>
  <c r="O1387"/>
  <c r="J1387"/>
  <c r="P1386"/>
  <c r="S1386" s="1"/>
  <c r="O1386"/>
  <c r="J1386"/>
  <c r="P1385"/>
  <c r="S1385" s="1"/>
  <c r="O1385"/>
  <c r="J1385"/>
  <c r="P1384"/>
  <c r="S1384" s="1"/>
  <c r="O1384"/>
  <c r="J1384"/>
  <c r="P1383"/>
  <c r="S1383" s="1"/>
  <c r="O1383"/>
  <c r="J1383"/>
  <c r="P1382"/>
  <c r="S1382" s="1"/>
  <c r="O1382"/>
  <c r="J1382"/>
  <c r="P1381"/>
  <c r="S1381" s="1"/>
  <c r="O1381"/>
  <c r="J1381"/>
  <c r="P1380"/>
  <c r="S1380" s="1"/>
  <c r="O1380"/>
  <c r="J1380"/>
  <c r="P1379"/>
  <c r="S1379" s="1"/>
  <c r="O1379"/>
  <c r="J1379"/>
  <c r="P1378"/>
  <c r="S1378" s="1"/>
  <c r="O1378"/>
  <c r="J1378"/>
  <c r="P1377"/>
  <c r="S1377" s="1"/>
  <c r="O1377"/>
  <c r="J1377"/>
  <c r="P1376"/>
  <c r="S1376" s="1"/>
  <c r="O1376"/>
  <c r="J1376"/>
  <c r="P1375"/>
  <c r="S1375" s="1"/>
  <c r="O1375"/>
  <c r="J1375"/>
  <c r="P1374"/>
  <c r="S1374" s="1"/>
  <c r="O1374"/>
  <c r="J1374"/>
  <c r="P1373"/>
  <c r="S1373" s="1"/>
  <c r="O1373"/>
  <c r="J1373"/>
  <c r="P1372"/>
  <c r="S1372" s="1"/>
  <c r="O1372"/>
  <c r="J1372"/>
  <c r="P1371"/>
  <c r="S1371" s="1"/>
  <c r="O1371"/>
  <c r="J1371"/>
  <c r="P1370"/>
  <c r="S1370" s="1"/>
  <c r="O1370"/>
  <c r="J1370"/>
  <c r="P1369"/>
  <c r="S1369" s="1"/>
  <c r="O1369"/>
  <c r="J1369"/>
  <c r="P1368"/>
  <c r="S1368" s="1"/>
  <c r="O1368"/>
  <c r="J1368"/>
  <c r="P1367"/>
  <c r="S1367" s="1"/>
  <c r="O1367"/>
  <c r="J1367"/>
  <c r="P1366"/>
  <c r="S1366" s="1"/>
  <c r="O1366"/>
  <c r="J1366"/>
  <c r="P1365"/>
  <c r="S1365" s="1"/>
  <c r="O1365"/>
  <c r="J1365"/>
  <c r="P1364"/>
  <c r="S1364" s="1"/>
  <c r="O1364"/>
  <c r="J1364"/>
  <c r="P1363"/>
  <c r="S1363" s="1"/>
  <c r="O1363"/>
  <c r="J1363"/>
  <c r="P1362"/>
  <c r="S1362" s="1"/>
  <c r="O1362"/>
  <c r="J1362"/>
  <c r="P1361"/>
  <c r="S1361" s="1"/>
  <c r="O1361"/>
  <c r="J1361"/>
  <c r="P1360"/>
  <c r="S1360" s="1"/>
  <c r="O1360"/>
  <c r="J1360"/>
  <c r="P1359"/>
  <c r="S1359" s="1"/>
  <c r="O1359"/>
  <c r="J1359"/>
  <c r="P1358"/>
  <c r="S1358" s="1"/>
  <c r="O1358"/>
  <c r="J1358"/>
  <c r="P1357"/>
  <c r="S1357" s="1"/>
  <c r="O1357"/>
  <c r="J1357"/>
  <c r="P1356"/>
  <c r="S1356" s="1"/>
  <c r="O1356"/>
  <c r="J1356"/>
  <c r="P1355"/>
  <c r="S1355" s="1"/>
  <c r="O1355"/>
  <c r="J1355"/>
  <c r="P1354"/>
  <c r="S1354" s="1"/>
  <c r="O1354"/>
  <c r="J1354"/>
  <c r="P1353"/>
  <c r="S1353" s="1"/>
  <c r="O1353"/>
  <c r="J1353"/>
  <c r="P1352"/>
  <c r="S1352" s="1"/>
  <c r="O1352"/>
  <c r="J1352"/>
  <c r="P1351"/>
  <c r="S1351" s="1"/>
  <c r="O1351"/>
  <c r="J1351"/>
  <c r="P1350"/>
  <c r="S1350" s="1"/>
  <c r="O1350"/>
  <c r="J1350"/>
  <c r="P1349"/>
  <c r="S1349" s="1"/>
  <c r="O1349"/>
  <c r="J1349"/>
  <c r="P1348"/>
  <c r="S1348" s="1"/>
  <c r="O1348"/>
  <c r="J1348"/>
  <c r="P1347"/>
  <c r="S1347" s="1"/>
  <c r="O1347"/>
  <c r="J1347"/>
  <c r="P1346"/>
  <c r="S1346" s="1"/>
  <c r="O1346"/>
  <c r="J1346"/>
  <c r="P1345"/>
  <c r="S1345" s="1"/>
  <c r="O1345"/>
  <c r="J1345"/>
  <c r="P1344"/>
  <c r="S1344" s="1"/>
  <c r="O1344"/>
  <c r="J1344"/>
  <c r="P1343"/>
  <c r="S1343" s="1"/>
  <c r="O1343"/>
  <c r="J1343"/>
  <c r="P1342"/>
  <c r="S1342" s="1"/>
  <c r="O1342"/>
  <c r="J1342"/>
  <c r="P1341"/>
  <c r="S1341" s="1"/>
  <c r="O1341"/>
  <c r="J1341"/>
  <c r="P1340"/>
  <c r="S1340" s="1"/>
  <c r="O1340"/>
  <c r="J1340"/>
  <c r="P1339"/>
  <c r="S1339" s="1"/>
  <c r="O1339"/>
  <c r="J1339"/>
  <c r="P1338"/>
  <c r="S1338" s="1"/>
  <c r="O1338"/>
  <c r="J1338"/>
  <c r="P1337"/>
  <c r="S1337" s="1"/>
  <c r="O1337"/>
  <c r="J1337"/>
  <c r="P1336"/>
  <c r="S1336" s="1"/>
  <c r="O1336"/>
  <c r="J1336"/>
  <c r="P1335"/>
  <c r="S1335" s="1"/>
  <c r="O1335"/>
  <c r="J1335"/>
  <c r="P1334"/>
  <c r="S1334" s="1"/>
  <c r="O1334"/>
  <c r="J1334"/>
  <c r="P1333"/>
  <c r="S1333" s="1"/>
  <c r="O1333"/>
  <c r="J1333"/>
  <c r="P1332"/>
  <c r="S1332" s="1"/>
  <c r="O1332"/>
  <c r="J1332"/>
  <c r="P1331"/>
  <c r="S1331" s="1"/>
  <c r="O1331"/>
  <c r="J1331"/>
  <c r="P1330"/>
  <c r="S1330" s="1"/>
  <c r="O1330"/>
  <c r="J1330"/>
  <c r="P1329"/>
  <c r="S1329" s="1"/>
  <c r="O1329"/>
  <c r="J1329"/>
  <c r="P1328"/>
  <c r="S1328" s="1"/>
  <c r="O1328"/>
  <c r="J1328"/>
  <c r="P1327"/>
  <c r="S1327" s="1"/>
  <c r="O1327"/>
  <c r="J1327"/>
  <c r="P1326"/>
  <c r="S1326" s="1"/>
  <c r="O1326"/>
  <c r="J1326"/>
  <c r="P1325"/>
  <c r="S1325" s="1"/>
  <c r="O1325"/>
  <c r="J1325"/>
  <c r="P1324"/>
  <c r="S1324" s="1"/>
  <c r="O1324"/>
  <c r="J1324"/>
  <c r="P1323"/>
  <c r="S1323" s="1"/>
  <c r="O1323"/>
  <c r="J1323"/>
  <c r="P1322"/>
  <c r="S1322" s="1"/>
  <c r="O1322"/>
  <c r="J1322"/>
  <c r="P1321"/>
  <c r="S1321" s="1"/>
  <c r="O1321"/>
  <c r="J1321"/>
  <c r="P1320"/>
  <c r="S1320" s="1"/>
  <c r="O1320"/>
  <c r="J1320"/>
  <c r="P1319"/>
  <c r="S1319" s="1"/>
  <c r="O1319"/>
  <c r="J1319"/>
  <c r="P1318"/>
  <c r="S1318" s="1"/>
  <c r="O1318"/>
  <c r="J1318"/>
  <c r="P1317"/>
  <c r="S1317" s="1"/>
  <c r="O1317"/>
  <c r="J1317"/>
  <c r="P1316"/>
  <c r="S1316" s="1"/>
  <c r="O1316"/>
  <c r="J1316"/>
  <c r="P1315"/>
  <c r="S1315" s="1"/>
  <c r="O1315"/>
  <c r="J1315"/>
  <c r="P1314"/>
  <c r="S1314" s="1"/>
  <c r="O1314"/>
  <c r="J1314"/>
  <c r="P1313"/>
  <c r="S1313" s="1"/>
  <c r="O1313"/>
  <c r="J1313"/>
  <c r="P1312"/>
  <c r="S1312" s="1"/>
  <c r="O1312"/>
  <c r="J1312"/>
  <c r="P1311"/>
  <c r="S1311" s="1"/>
  <c r="O1311"/>
  <c r="J1311"/>
  <c r="P1310"/>
  <c r="S1310" s="1"/>
  <c r="O1310"/>
  <c r="J1310"/>
  <c r="P1309"/>
  <c r="S1309" s="1"/>
  <c r="O1309"/>
  <c r="J1309"/>
  <c r="P1308"/>
  <c r="S1308" s="1"/>
  <c r="O1308"/>
  <c r="J1308"/>
  <c r="P1307"/>
  <c r="S1307" s="1"/>
  <c r="O1307"/>
  <c r="J1307"/>
  <c r="P1306"/>
  <c r="S1306" s="1"/>
  <c r="O1306"/>
  <c r="J1306"/>
  <c r="P1305"/>
  <c r="S1305" s="1"/>
  <c r="O1305"/>
  <c r="J1305"/>
  <c r="P1304"/>
  <c r="S1304" s="1"/>
  <c r="O1304"/>
  <c r="J1304"/>
  <c r="P1303"/>
  <c r="S1303" s="1"/>
  <c r="O1303"/>
  <c r="J1303"/>
  <c r="P1302"/>
  <c r="S1302" s="1"/>
  <c r="O1302"/>
  <c r="J1302"/>
  <c r="P1301"/>
  <c r="S1301" s="1"/>
  <c r="O1301"/>
  <c r="J1301"/>
  <c r="P1300"/>
  <c r="S1300" s="1"/>
  <c r="O1300"/>
  <c r="J1300"/>
  <c r="P1299"/>
  <c r="S1299" s="1"/>
  <c r="O1299"/>
  <c r="J1299"/>
  <c r="P1298"/>
  <c r="S1298" s="1"/>
  <c r="O1298"/>
  <c r="J1298"/>
  <c r="P1297"/>
  <c r="S1297" s="1"/>
  <c r="O1297"/>
  <c r="J1297"/>
  <c r="P1296"/>
  <c r="S1296" s="1"/>
  <c r="O1296"/>
  <c r="J1296"/>
  <c r="P1295"/>
  <c r="S1295" s="1"/>
  <c r="O1295"/>
  <c r="J1295"/>
  <c r="P1294"/>
  <c r="S1294" s="1"/>
  <c r="O1294"/>
  <c r="J1294"/>
  <c r="P1293"/>
  <c r="S1293" s="1"/>
  <c r="O1293"/>
  <c r="J1293"/>
  <c r="P1292"/>
  <c r="S1292" s="1"/>
  <c r="O1292"/>
  <c r="J1292"/>
  <c r="P1291"/>
  <c r="S1291" s="1"/>
  <c r="O1291"/>
  <c r="J1291"/>
  <c r="P1290"/>
  <c r="S1290" s="1"/>
  <c r="O1290"/>
  <c r="J1290"/>
  <c r="P1289"/>
  <c r="S1289" s="1"/>
  <c r="O1289"/>
  <c r="J1289"/>
  <c r="P1288"/>
  <c r="S1288" s="1"/>
  <c r="O1288"/>
  <c r="J1288"/>
  <c r="P1287"/>
  <c r="S1287" s="1"/>
  <c r="O1287"/>
  <c r="J1287"/>
  <c r="P1286"/>
  <c r="S1286" s="1"/>
  <c r="O1286"/>
  <c r="J1286"/>
  <c r="P1285"/>
  <c r="S1285" s="1"/>
  <c r="O1285"/>
  <c r="J1285"/>
  <c r="P1284"/>
  <c r="S1284" s="1"/>
  <c r="O1284"/>
  <c r="J1284"/>
  <c r="P1283"/>
  <c r="S1283" s="1"/>
  <c r="O1283"/>
  <c r="J1283"/>
  <c r="P1282"/>
  <c r="S1282" s="1"/>
  <c r="O1282"/>
  <c r="J1282"/>
  <c r="P1281"/>
  <c r="S1281" s="1"/>
  <c r="O1281"/>
  <c r="J1281"/>
  <c r="P1280"/>
  <c r="S1280" s="1"/>
  <c r="O1280"/>
  <c r="J1280"/>
  <c r="P1279"/>
  <c r="S1279" s="1"/>
  <c r="O1279"/>
  <c r="J1279"/>
  <c r="P1278"/>
  <c r="S1278" s="1"/>
  <c r="O1278"/>
  <c r="J1278"/>
  <c r="P1277"/>
  <c r="S1277" s="1"/>
  <c r="O1277"/>
  <c r="J1277"/>
  <c r="P1276"/>
  <c r="S1276" s="1"/>
  <c r="O1276"/>
  <c r="J1276"/>
  <c r="P1275"/>
  <c r="S1275" s="1"/>
  <c r="O1275"/>
  <c r="J1275"/>
  <c r="P1274"/>
  <c r="S1274" s="1"/>
  <c r="O1274"/>
  <c r="J1274"/>
  <c r="P1273"/>
  <c r="S1273" s="1"/>
  <c r="O1273"/>
  <c r="J1273"/>
  <c r="P1272"/>
  <c r="S1272" s="1"/>
  <c r="O1272"/>
  <c r="J1272"/>
  <c r="P1271"/>
  <c r="S1271" s="1"/>
  <c r="O1271"/>
  <c r="J1271"/>
  <c r="P1270"/>
  <c r="S1270" s="1"/>
  <c r="O1270"/>
  <c r="J1270"/>
  <c r="P1269"/>
  <c r="S1269" s="1"/>
  <c r="O1269"/>
  <c r="J1269"/>
  <c r="P1268"/>
  <c r="S1268" s="1"/>
  <c r="O1268"/>
  <c r="J1268"/>
  <c r="P1267"/>
  <c r="S1267" s="1"/>
  <c r="O1267"/>
  <c r="J1267"/>
  <c r="P1266"/>
  <c r="S1266" s="1"/>
  <c r="O1266"/>
  <c r="J1266"/>
  <c r="P1265"/>
  <c r="S1265" s="1"/>
  <c r="O1265"/>
  <c r="J1265"/>
  <c r="P1264"/>
  <c r="S1264" s="1"/>
  <c r="O1264"/>
  <c r="J1264"/>
  <c r="P1263"/>
  <c r="S1263" s="1"/>
  <c r="O1263"/>
  <c r="J1263"/>
  <c r="P1262"/>
  <c r="S1262" s="1"/>
  <c r="O1262"/>
  <c r="J1262"/>
  <c r="P1261"/>
  <c r="S1261" s="1"/>
  <c r="O1261"/>
  <c r="J1261"/>
  <c r="P1260"/>
  <c r="S1260" s="1"/>
  <c r="O1260"/>
  <c r="J1260"/>
  <c r="P1259"/>
  <c r="S1259" s="1"/>
  <c r="O1259"/>
  <c r="J1259"/>
  <c r="P1258"/>
  <c r="S1258" s="1"/>
  <c r="O1258"/>
  <c r="J1258"/>
  <c r="P1257"/>
  <c r="S1257" s="1"/>
  <c r="O1257"/>
  <c r="J1257"/>
  <c r="P1256"/>
  <c r="S1256" s="1"/>
  <c r="O1256"/>
  <c r="J1256"/>
  <c r="P1255"/>
  <c r="S1255" s="1"/>
  <c r="O1255"/>
  <c r="J1255"/>
  <c r="P1254"/>
  <c r="S1254" s="1"/>
  <c r="O1254"/>
  <c r="J1254"/>
  <c r="P1253"/>
  <c r="S1253" s="1"/>
  <c r="O1253"/>
  <c r="J1253"/>
  <c r="P1252"/>
  <c r="S1252" s="1"/>
  <c r="O1252"/>
  <c r="J1252"/>
  <c r="P1251"/>
  <c r="S1251" s="1"/>
  <c r="O1251"/>
  <c r="J1251"/>
  <c r="P1250"/>
  <c r="S1250" s="1"/>
  <c r="O1250"/>
  <c r="J1250"/>
  <c r="P1249"/>
  <c r="S1249" s="1"/>
  <c r="O1249"/>
  <c r="J1249"/>
  <c r="P1248"/>
  <c r="S1248" s="1"/>
  <c r="O1248"/>
  <c r="J1248"/>
  <c r="P1247"/>
  <c r="S1247" s="1"/>
  <c r="O1247"/>
  <c r="J1247"/>
  <c r="P1246"/>
  <c r="S1246" s="1"/>
  <c r="O1246"/>
  <c r="J1246"/>
  <c r="P1245"/>
  <c r="S1245" s="1"/>
  <c r="O1245"/>
  <c r="J1245"/>
  <c r="P1244"/>
  <c r="S1244" s="1"/>
  <c r="O1244"/>
  <c r="J1244"/>
  <c r="P1243"/>
  <c r="S1243" s="1"/>
  <c r="O1243"/>
  <c r="J1243"/>
  <c r="P1242"/>
  <c r="S1242" s="1"/>
  <c r="O1242"/>
  <c r="J1242"/>
  <c r="P1241"/>
  <c r="S1241" s="1"/>
  <c r="O1241"/>
  <c r="J1241"/>
  <c r="P1240"/>
  <c r="S1240" s="1"/>
  <c r="O1240"/>
  <c r="J1240"/>
  <c r="P1239"/>
  <c r="S1239" s="1"/>
  <c r="O1239"/>
  <c r="J1239"/>
  <c r="P1238"/>
  <c r="S1238" s="1"/>
  <c r="O1238"/>
  <c r="J1238"/>
  <c r="P1237"/>
  <c r="S1237" s="1"/>
  <c r="O1237"/>
  <c r="J1237"/>
  <c r="P1236"/>
  <c r="S1236" s="1"/>
  <c r="O1236"/>
  <c r="J1236"/>
  <c r="P1235"/>
  <c r="S1235" s="1"/>
  <c r="O1235"/>
  <c r="J1235"/>
  <c r="P1234"/>
  <c r="S1234" s="1"/>
  <c r="O1234"/>
  <c r="J1234"/>
  <c r="P1233"/>
  <c r="S1233" s="1"/>
  <c r="O1233"/>
  <c r="J1233"/>
  <c r="P1232"/>
  <c r="S1232" s="1"/>
  <c r="O1232"/>
  <c r="J1232"/>
  <c r="P1231"/>
  <c r="S1231" s="1"/>
  <c r="O1231"/>
  <c r="J1231"/>
  <c r="P1230"/>
  <c r="S1230" s="1"/>
  <c r="O1230"/>
  <c r="J1230"/>
  <c r="P1229"/>
  <c r="S1229" s="1"/>
  <c r="O1229"/>
  <c r="J1229"/>
  <c r="P1228"/>
  <c r="S1228" s="1"/>
  <c r="O1228"/>
  <c r="J1228"/>
  <c r="P1227"/>
  <c r="S1227" s="1"/>
  <c r="O1227"/>
  <c r="J1227"/>
  <c r="P1226"/>
  <c r="S1226" s="1"/>
  <c r="O1226"/>
  <c r="J1226"/>
  <c r="P1225"/>
  <c r="S1225" s="1"/>
  <c r="O1225"/>
  <c r="J1225"/>
  <c r="P1224"/>
  <c r="S1224" s="1"/>
  <c r="O1224"/>
  <c r="J1224"/>
  <c r="P1223"/>
  <c r="S1223" s="1"/>
  <c r="O1223"/>
  <c r="J1223"/>
  <c r="P1222"/>
  <c r="S1222" s="1"/>
  <c r="O1222"/>
  <c r="J1222"/>
  <c r="P1221"/>
  <c r="S1221" s="1"/>
  <c r="O1221"/>
  <c r="J1221"/>
  <c r="P1220"/>
  <c r="S1220" s="1"/>
  <c r="O1220"/>
  <c r="J1220"/>
  <c r="P1219"/>
  <c r="S1219" s="1"/>
  <c r="O1219"/>
  <c r="J1219"/>
  <c r="P1218"/>
  <c r="S1218" s="1"/>
  <c r="O1218"/>
  <c r="J1218"/>
  <c r="P1217"/>
  <c r="S1217" s="1"/>
  <c r="O1217"/>
  <c r="J1217"/>
  <c r="P1216"/>
  <c r="S1216" s="1"/>
  <c r="O1216"/>
  <c r="J1216"/>
  <c r="P1215"/>
  <c r="S1215" s="1"/>
  <c r="O1215"/>
  <c r="J1215"/>
  <c r="P1214"/>
  <c r="S1214" s="1"/>
  <c r="O1214"/>
  <c r="J1214"/>
  <c r="P1213"/>
  <c r="S1213" s="1"/>
  <c r="O1213"/>
  <c r="J1213"/>
  <c r="P1212"/>
  <c r="S1212" s="1"/>
  <c r="O1212"/>
  <c r="J1212"/>
  <c r="P1211"/>
  <c r="S1211" s="1"/>
  <c r="O1211"/>
  <c r="J1211"/>
  <c r="P1210"/>
  <c r="S1210" s="1"/>
  <c r="O1210"/>
  <c r="J1210"/>
  <c r="P1209"/>
  <c r="S1209" s="1"/>
  <c r="O1209"/>
  <c r="J1209"/>
  <c r="P1208"/>
  <c r="S1208" s="1"/>
  <c r="O1208"/>
  <c r="J1208"/>
  <c r="P1207"/>
  <c r="S1207" s="1"/>
  <c r="O1207"/>
  <c r="J1207"/>
  <c r="P1206"/>
  <c r="S1206" s="1"/>
  <c r="O1206"/>
  <c r="J1206"/>
  <c r="P1205"/>
  <c r="S1205" s="1"/>
  <c r="O1205"/>
  <c r="J1205"/>
  <c r="P1204"/>
  <c r="S1204" s="1"/>
  <c r="O1204"/>
  <c r="J1204"/>
  <c r="P1203"/>
  <c r="S1203" s="1"/>
  <c r="O1203"/>
  <c r="J1203"/>
  <c r="P1202"/>
  <c r="S1202" s="1"/>
  <c r="O1202"/>
  <c r="J1202"/>
  <c r="P1201"/>
  <c r="S1201" s="1"/>
  <c r="O1201"/>
  <c r="J1201"/>
  <c r="P1200"/>
  <c r="S1200" s="1"/>
  <c r="O1200"/>
  <c r="J1200"/>
  <c r="P1199"/>
  <c r="S1199" s="1"/>
  <c r="O1199"/>
  <c r="J1199"/>
  <c r="P1198"/>
  <c r="S1198" s="1"/>
  <c r="O1198"/>
  <c r="J1198"/>
  <c r="P1197"/>
  <c r="S1197" s="1"/>
  <c r="O1197"/>
  <c r="J1197"/>
  <c r="P1196"/>
  <c r="S1196" s="1"/>
  <c r="O1196"/>
  <c r="J1196"/>
  <c r="P1195"/>
  <c r="S1195" s="1"/>
  <c r="O1195"/>
  <c r="J1195"/>
  <c r="P1194"/>
  <c r="S1194" s="1"/>
  <c r="O1194"/>
  <c r="J1194"/>
  <c r="P1193"/>
  <c r="S1193" s="1"/>
  <c r="O1193"/>
  <c r="J1193"/>
  <c r="P1192"/>
  <c r="S1192" s="1"/>
  <c r="O1192"/>
  <c r="J1192"/>
  <c r="P1191"/>
  <c r="S1191" s="1"/>
  <c r="O1191"/>
  <c r="J1191"/>
  <c r="P1190"/>
  <c r="S1190" s="1"/>
  <c r="O1190"/>
  <c r="J1190"/>
  <c r="P1189"/>
  <c r="S1189" s="1"/>
  <c r="O1189"/>
  <c r="J1189"/>
  <c r="P1188"/>
  <c r="S1188" s="1"/>
  <c r="O1188"/>
  <c r="J1188"/>
  <c r="P1187"/>
  <c r="S1187" s="1"/>
  <c r="O1187"/>
  <c r="J1187"/>
  <c r="P1186"/>
  <c r="S1186" s="1"/>
  <c r="O1186"/>
  <c r="J1186"/>
  <c r="P1185"/>
  <c r="S1185" s="1"/>
  <c r="O1185"/>
  <c r="J1185"/>
  <c r="P1184"/>
  <c r="S1184" s="1"/>
  <c r="O1184"/>
  <c r="J1184"/>
  <c r="P1183"/>
  <c r="S1183" s="1"/>
  <c r="O1183"/>
  <c r="J1183"/>
  <c r="P1182"/>
  <c r="S1182" s="1"/>
  <c r="O1182"/>
  <c r="J1182"/>
  <c r="P1181"/>
  <c r="S1181" s="1"/>
  <c r="O1181"/>
  <c r="J1181"/>
  <c r="P1180"/>
  <c r="S1180" s="1"/>
  <c r="O1180"/>
  <c r="J1180"/>
  <c r="P1179"/>
  <c r="S1179" s="1"/>
  <c r="O1179"/>
  <c r="J1179"/>
  <c r="P1178"/>
  <c r="S1178" s="1"/>
  <c r="O1178"/>
  <c r="J1178"/>
  <c r="P1177"/>
  <c r="S1177" s="1"/>
  <c r="O1177"/>
  <c r="J1177"/>
  <c r="P1176"/>
  <c r="S1176" s="1"/>
  <c r="O1176"/>
  <c r="J1176"/>
  <c r="P1175"/>
  <c r="S1175" s="1"/>
  <c r="O1175"/>
  <c r="J1175"/>
  <c r="P1174"/>
  <c r="S1174" s="1"/>
  <c r="O1174"/>
  <c r="J1174"/>
  <c r="P1173"/>
  <c r="S1173" s="1"/>
  <c r="O1173"/>
  <c r="J1173"/>
  <c r="P1172"/>
  <c r="S1172" s="1"/>
  <c r="O1172"/>
  <c r="J1172"/>
  <c r="P1171"/>
  <c r="S1171" s="1"/>
  <c r="O1171"/>
  <c r="J1171"/>
  <c r="P1170"/>
  <c r="S1170" s="1"/>
  <c r="O1170"/>
  <c r="J1170"/>
  <c r="P1169"/>
  <c r="S1169" s="1"/>
  <c r="O1169"/>
  <c r="J1169"/>
  <c r="P1168"/>
  <c r="S1168" s="1"/>
  <c r="O1168"/>
  <c r="J1168"/>
  <c r="P1167"/>
  <c r="S1167" s="1"/>
  <c r="O1167"/>
  <c r="J1167"/>
  <c r="P1166"/>
  <c r="S1166" s="1"/>
  <c r="O1166"/>
  <c r="J1166"/>
  <c r="P1165"/>
  <c r="S1165" s="1"/>
  <c r="O1165"/>
  <c r="J1165"/>
  <c r="P1164"/>
  <c r="S1164" s="1"/>
  <c r="O1164"/>
  <c r="J1164"/>
  <c r="P1163"/>
  <c r="S1163" s="1"/>
  <c r="O1163"/>
  <c r="J1163"/>
  <c r="P1162"/>
  <c r="S1162" s="1"/>
  <c r="O1162"/>
  <c r="J1162"/>
  <c r="P1161"/>
  <c r="S1161" s="1"/>
  <c r="O1161"/>
  <c r="J1161"/>
  <c r="P1160"/>
  <c r="S1160" s="1"/>
  <c r="O1160"/>
  <c r="J1160"/>
  <c r="P1159"/>
  <c r="S1159" s="1"/>
  <c r="O1159"/>
  <c r="J1159"/>
  <c r="P1158"/>
  <c r="S1158" s="1"/>
  <c r="O1158"/>
  <c r="J1158"/>
  <c r="P1157"/>
  <c r="S1157" s="1"/>
  <c r="O1157"/>
  <c r="J1157"/>
  <c r="P1156"/>
  <c r="S1156" s="1"/>
  <c r="O1156"/>
  <c r="J1156"/>
  <c r="P1155"/>
  <c r="S1155" s="1"/>
  <c r="O1155"/>
  <c r="J1155"/>
  <c r="P1154"/>
  <c r="S1154" s="1"/>
  <c r="O1154"/>
  <c r="J1154"/>
  <c r="P1153"/>
  <c r="S1153" s="1"/>
  <c r="O1153"/>
  <c r="J1153"/>
  <c r="P1152"/>
  <c r="S1152" s="1"/>
  <c r="O1152"/>
  <c r="J1152"/>
  <c r="P1151"/>
  <c r="S1151" s="1"/>
  <c r="O1151"/>
  <c r="J1151"/>
  <c r="P1150"/>
  <c r="S1150" s="1"/>
  <c r="O1150"/>
  <c r="J1150"/>
  <c r="P1149"/>
  <c r="S1149" s="1"/>
  <c r="O1149"/>
  <c r="J1149"/>
  <c r="P1148"/>
  <c r="S1148" s="1"/>
  <c r="O1148"/>
  <c r="J1148"/>
  <c r="P1147"/>
  <c r="S1147" s="1"/>
  <c r="O1147"/>
  <c r="J1147"/>
  <c r="P1146"/>
  <c r="S1146" s="1"/>
  <c r="O1146"/>
  <c r="J1146"/>
  <c r="P1145"/>
  <c r="S1145" s="1"/>
  <c r="O1145"/>
  <c r="J1145"/>
  <c r="P1144"/>
  <c r="S1144" s="1"/>
  <c r="O1144"/>
  <c r="J1144"/>
  <c r="P1143"/>
  <c r="S1143" s="1"/>
  <c r="O1143"/>
  <c r="J1143"/>
  <c r="P1142"/>
  <c r="S1142" s="1"/>
  <c r="O1142"/>
  <c r="J1142"/>
  <c r="P1141"/>
  <c r="S1141" s="1"/>
  <c r="O1141"/>
  <c r="J1141"/>
  <c r="P1140"/>
  <c r="S1140" s="1"/>
  <c r="O1140"/>
  <c r="J1140"/>
  <c r="P1139"/>
  <c r="S1139" s="1"/>
  <c r="O1139"/>
  <c r="J1139"/>
  <c r="P1138"/>
  <c r="S1138" s="1"/>
  <c r="O1138"/>
  <c r="J1138"/>
  <c r="P1137"/>
  <c r="S1137" s="1"/>
  <c r="O1137"/>
  <c r="J1137"/>
  <c r="P1136"/>
  <c r="S1136" s="1"/>
  <c r="O1136"/>
  <c r="J1136"/>
  <c r="P1135"/>
  <c r="S1135" s="1"/>
  <c r="O1135"/>
  <c r="J1135"/>
  <c r="P1134"/>
  <c r="S1134" s="1"/>
  <c r="O1134"/>
  <c r="J1134"/>
  <c r="P1133"/>
  <c r="S1133" s="1"/>
  <c r="O1133"/>
  <c r="J1133"/>
  <c r="P1132"/>
  <c r="S1132" s="1"/>
  <c r="O1132"/>
  <c r="J1132"/>
  <c r="P1131"/>
  <c r="S1131" s="1"/>
  <c r="O1131"/>
  <c r="J1131"/>
  <c r="P1130"/>
  <c r="S1130" s="1"/>
  <c r="O1130"/>
  <c r="J1130"/>
  <c r="P1129"/>
  <c r="S1129" s="1"/>
  <c r="O1129"/>
  <c r="J1129"/>
  <c r="P1128"/>
  <c r="S1128" s="1"/>
  <c r="O1128"/>
  <c r="J1128"/>
  <c r="P1127"/>
  <c r="S1127" s="1"/>
  <c r="O1127"/>
  <c r="J1127"/>
  <c r="P1126"/>
  <c r="S1126" s="1"/>
  <c r="O1126"/>
  <c r="J1126"/>
  <c r="P1125"/>
  <c r="S1125" s="1"/>
  <c r="O1125"/>
  <c r="J1125"/>
  <c r="P1124"/>
  <c r="S1124" s="1"/>
  <c r="O1124"/>
  <c r="J1124"/>
  <c r="P1123"/>
  <c r="S1123" s="1"/>
  <c r="O1123"/>
  <c r="J1123"/>
  <c r="P1122"/>
  <c r="S1122" s="1"/>
  <c r="O1122"/>
  <c r="J1122"/>
  <c r="P1121"/>
  <c r="S1121" s="1"/>
  <c r="O1121"/>
  <c r="J1121"/>
  <c r="P1120"/>
  <c r="S1120" s="1"/>
  <c r="O1120"/>
  <c r="J1120"/>
  <c r="P1119"/>
  <c r="S1119" s="1"/>
  <c r="O1119"/>
  <c r="J1119"/>
  <c r="P1118"/>
  <c r="S1118" s="1"/>
  <c r="O1118"/>
  <c r="J1118"/>
  <c r="P1117"/>
  <c r="S1117" s="1"/>
  <c r="O1117"/>
  <c r="J1117"/>
  <c r="P1116"/>
  <c r="S1116" s="1"/>
  <c r="O1116"/>
  <c r="J1116"/>
  <c r="P1115"/>
  <c r="S1115" s="1"/>
  <c r="O1115"/>
  <c r="J1115"/>
  <c r="P1114"/>
  <c r="S1114" s="1"/>
  <c r="O1114"/>
  <c r="J1114"/>
  <c r="P1113"/>
  <c r="S1113" s="1"/>
  <c r="O1113"/>
  <c r="J1113"/>
  <c r="P1112"/>
  <c r="S1112" s="1"/>
  <c r="O1112"/>
  <c r="J1112"/>
  <c r="P1111"/>
  <c r="S1111" s="1"/>
  <c r="O1111"/>
  <c r="J1111"/>
  <c r="P1110"/>
  <c r="S1110" s="1"/>
  <c r="O1110"/>
  <c r="J1110"/>
  <c r="P1109"/>
  <c r="S1109" s="1"/>
  <c r="O1109"/>
  <c r="J1109"/>
  <c r="P1108"/>
  <c r="S1108" s="1"/>
  <c r="O1108"/>
  <c r="J1108"/>
  <c r="P1107"/>
  <c r="S1107" s="1"/>
  <c r="O1107"/>
  <c r="J1107"/>
  <c r="P1106"/>
  <c r="S1106" s="1"/>
  <c r="O1106"/>
  <c r="J1106"/>
  <c r="P1105"/>
  <c r="S1105" s="1"/>
  <c r="O1105"/>
  <c r="J1105"/>
  <c r="P1104"/>
  <c r="S1104" s="1"/>
  <c r="O1104"/>
  <c r="J1104"/>
  <c r="P1103"/>
  <c r="S1103" s="1"/>
  <c r="O1103"/>
  <c r="J1103"/>
  <c r="P1102"/>
  <c r="S1102" s="1"/>
  <c r="O1102"/>
  <c r="J1102"/>
  <c r="P1101"/>
  <c r="S1101" s="1"/>
  <c r="O1101"/>
  <c r="J1101"/>
  <c r="P1100"/>
  <c r="S1100" s="1"/>
  <c r="O1100"/>
  <c r="J1100"/>
  <c r="P1099"/>
  <c r="S1099" s="1"/>
  <c r="O1099"/>
  <c r="J1099"/>
  <c r="P1098"/>
  <c r="S1098" s="1"/>
  <c r="O1098"/>
  <c r="J1098"/>
  <c r="P1097"/>
  <c r="S1097" s="1"/>
  <c r="O1097"/>
  <c r="J1097"/>
  <c r="P1096"/>
  <c r="S1096" s="1"/>
  <c r="O1096"/>
  <c r="J1096"/>
  <c r="P1095"/>
  <c r="S1095" s="1"/>
  <c r="O1095"/>
  <c r="J1095"/>
  <c r="P1094"/>
  <c r="S1094" s="1"/>
  <c r="O1094"/>
  <c r="J1094"/>
  <c r="P1093"/>
  <c r="S1093" s="1"/>
  <c r="O1093"/>
  <c r="J1093"/>
  <c r="P1092"/>
  <c r="S1092" s="1"/>
  <c r="O1092"/>
  <c r="J1092"/>
  <c r="P1091"/>
  <c r="S1091" s="1"/>
  <c r="O1091"/>
  <c r="J1091"/>
  <c r="P1090"/>
  <c r="S1090" s="1"/>
  <c r="O1090"/>
  <c r="J1090"/>
  <c r="P1089"/>
  <c r="S1089" s="1"/>
  <c r="O1089"/>
  <c r="J1089"/>
  <c r="P1088"/>
  <c r="S1088" s="1"/>
  <c r="O1088"/>
  <c r="J1088"/>
  <c r="P1087"/>
  <c r="S1087" s="1"/>
  <c r="O1087"/>
  <c r="J1087"/>
  <c r="P1086"/>
  <c r="S1086" s="1"/>
  <c r="O1086"/>
  <c r="J1086"/>
  <c r="P1085"/>
  <c r="S1085" s="1"/>
  <c r="O1085"/>
  <c r="J1085"/>
  <c r="P1084"/>
  <c r="S1084" s="1"/>
  <c r="O1084"/>
  <c r="J1084"/>
  <c r="P1083"/>
  <c r="S1083" s="1"/>
  <c r="O1083"/>
  <c r="J1083"/>
  <c r="P1082"/>
  <c r="S1082" s="1"/>
  <c r="O1082"/>
  <c r="J1082"/>
  <c r="P1081"/>
  <c r="S1081" s="1"/>
  <c r="O1081"/>
  <c r="J1081"/>
  <c r="P1080"/>
  <c r="S1080" s="1"/>
  <c r="O1080"/>
  <c r="J1080"/>
  <c r="P1079"/>
  <c r="S1079" s="1"/>
  <c r="O1079"/>
  <c r="J1079"/>
  <c r="P1078"/>
  <c r="S1078" s="1"/>
  <c r="O1078"/>
  <c r="J1078"/>
  <c r="P1077"/>
  <c r="S1077" s="1"/>
  <c r="O1077"/>
  <c r="J1077"/>
  <c r="P1076"/>
  <c r="S1076" s="1"/>
  <c r="O1076"/>
  <c r="J1076"/>
  <c r="P1075"/>
  <c r="S1075" s="1"/>
  <c r="O1075"/>
  <c r="J1075"/>
  <c r="P1074"/>
  <c r="S1074" s="1"/>
  <c r="O1074"/>
  <c r="J1074"/>
  <c r="P1073"/>
  <c r="S1073" s="1"/>
  <c r="O1073"/>
  <c r="J1073"/>
  <c r="P1072"/>
  <c r="S1072" s="1"/>
  <c r="O1072"/>
  <c r="J1072"/>
  <c r="P1071"/>
  <c r="S1071" s="1"/>
  <c r="O1071"/>
  <c r="J1071"/>
  <c r="P1070"/>
  <c r="S1070" s="1"/>
  <c r="O1070"/>
  <c r="J1070"/>
  <c r="P1069"/>
  <c r="S1069" s="1"/>
  <c r="O1069"/>
  <c r="J1069"/>
  <c r="P1068"/>
  <c r="S1068" s="1"/>
  <c r="O1068"/>
  <c r="J1068"/>
  <c r="P1067"/>
  <c r="S1067" s="1"/>
  <c r="O1067"/>
  <c r="J1067"/>
  <c r="P1066"/>
  <c r="S1066" s="1"/>
  <c r="O1066"/>
  <c r="J1066"/>
  <c r="P1065"/>
  <c r="S1065" s="1"/>
  <c r="O1065"/>
  <c r="J1065"/>
  <c r="P1064"/>
  <c r="S1064" s="1"/>
  <c r="O1064"/>
  <c r="J1064"/>
  <c r="P1063"/>
  <c r="S1063" s="1"/>
  <c r="O1063"/>
  <c r="J1063"/>
  <c r="P1062"/>
  <c r="S1062" s="1"/>
  <c r="O1062"/>
  <c r="J1062"/>
  <c r="P1061"/>
  <c r="S1061" s="1"/>
  <c r="O1061"/>
  <c r="J1061"/>
  <c r="P1060"/>
  <c r="S1060" s="1"/>
  <c r="O1060"/>
  <c r="J1060"/>
  <c r="P1059"/>
  <c r="S1059" s="1"/>
  <c r="O1059"/>
  <c r="J1059"/>
  <c r="P1058"/>
  <c r="S1058" s="1"/>
  <c r="O1058"/>
  <c r="J1058"/>
  <c r="P1057"/>
  <c r="S1057" s="1"/>
  <c r="O1057"/>
  <c r="J1057"/>
  <c r="P1056"/>
  <c r="S1056" s="1"/>
  <c r="O1056"/>
  <c r="J1056"/>
  <c r="P1055"/>
  <c r="S1055" s="1"/>
  <c r="O1055"/>
  <c r="J1055"/>
  <c r="P1054"/>
  <c r="S1054" s="1"/>
  <c r="O1054"/>
  <c r="J1054"/>
  <c r="P1053"/>
  <c r="S1053" s="1"/>
  <c r="O1053"/>
  <c r="J1053"/>
  <c r="P1052"/>
  <c r="S1052" s="1"/>
  <c r="O1052"/>
  <c r="J1052"/>
  <c r="P1051"/>
  <c r="S1051" s="1"/>
  <c r="O1051"/>
  <c r="J1051"/>
  <c r="P1050"/>
  <c r="S1050" s="1"/>
  <c r="O1050"/>
  <c r="J1050"/>
  <c r="P1049"/>
  <c r="S1049" s="1"/>
  <c r="O1049"/>
  <c r="J1049"/>
  <c r="P1048"/>
  <c r="S1048" s="1"/>
  <c r="O1048"/>
  <c r="J1048"/>
  <c r="P1047"/>
  <c r="S1047" s="1"/>
  <c r="O1047"/>
  <c r="J1047"/>
  <c r="P1046"/>
  <c r="S1046" s="1"/>
  <c r="O1046"/>
  <c r="J1046"/>
  <c r="P1045"/>
  <c r="S1045" s="1"/>
  <c r="O1045"/>
  <c r="J1045"/>
  <c r="P1044"/>
  <c r="S1044" s="1"/>
  <c r="O1044"/>
  <c r="J1044"/>
  <c r="P1043"/>
  <c r="S1043" s="1"/>
  <c r="O1043"/>
  <c r="J1043"/>
  <c r="P1042"/>
  <c r="S1042" s="1"/>
  <c r="O1042"/>
  <c r="J1042"/>
  <c r="P1041"/>
  <c r="S1041" s="1"/>
  <c r="O1041"/>
  <c r="J1041"/>
  <c r="P1040"/>
  <c r="S1040" s="1"/>
  <c r="O1040"/>
  <c r="J1040"/>
  <c r="P1039"/>
  <c r="S1039" s="1"/>
  <c r="O1039"/>
  <c r="J1039"/>
  <c r="P1038"/>
  <c r="S1038" s="1"/>
  <c r="O1038"/>
  <c r="J1038"/>
  <c r="P1037"/>
  <c r="S1037" s="1"/>
  <c r="O1037"/>
  <c r="J1037"/>
  <c r="P1036"/>
  <c r="S1036" s="1"/>
  <c r="O1036"/>
  <c r="J1036"/>
  <c r="P1035"/>
  <c r="S1035" s="1"/>
  <c r="O1035"/>
  <c r="J1035"/>
  <c r="P1034"/>
  <c r="S1034" s="1"/>
  <c r="O1034"/>
  <c r="J1034"/>
  <c r="P1033"/>
  <c r="S1033" s="1"/>
  <c r="O1033"/>
  <c r="J1033"/>
  <c r="P1032"/>
  <c r="S1032" s="1"/>
  <c r="O1032"/>
  <c r="J1032"/>
  <c r="P1031"/>
  <c r="S1031" s="1"/>
  <c r="O1031"/>
  <c r="J1031"/>
  <c r="P1030"/>
  <c r="S1030" s="1"/>
  <c r="O1030"/>
  <c r="J1030"/>
  <c r="P1029"/>
  <c r="S1029" s="1"/>
  <c r="O1029"/>
  <c r="J1029"/>
  <c r="P1028"/>
  <c r="S1028" s="1"/>
  <c r="O1028"/>
  <c r="J1028"/>
  <c r="P1027"/>
  <c r="S1027" s="1"/>
  <c r="O1027"/>
  <c r="J1027"/>
  <c r="P1026"/>
  <c r="S1026" s="1"/>
  <c r="O1026"/>
  <c r="J1026"/>
  <c r="P1025"/>
  <c r="S1025" s="1"/>
  <c r="O1025"/>
  <c r="J1025"/>
  <c r="P1024"/>
  <c r="S1024" s="1"/>
  <c r="O1024"/>
  <c r="J1024"/>
  <c r="P1023"/>
  <c r="S1023" s="1"/>
  <c r="O1023"/>
  <c r="J1023"/>
  <c r="P1022"/>
  <c r="S1022" s="1"/>
  <c r="O1022"/>
  <c r="J1022"/>
  <c r="P1021"/>
  <c r="S1021" s="1"/>
  <c r="O1021"/>
  <c r="J1021"/>
  <c r="P1020"/>
  <c r="S1020" s="1"/>
  <c r="O1020"/>
  <c r="J1020"/>
  <c r="P1019"/>
  <c r="S1019" s="1"/>
  <c r="O1019"/>
  <c r="J1019"/>
  <c r="P1018"/>
  <c r="S1018" s="1"/>
  <c r="O1018"/>
  <c r="J1018"/>
  <c r="P1017"/>
  <c r="S1017" s="1"/>
  <c r="O1017"/>
  <c r="J1017"/>
  <c r="P1016"/>
  <c r="S1016" s="1"/>
  <c r="O1016"/>
  <c r="J1016"/>
  <c r="P1015"/>
  <c r="S1015" s="1"/>
  <c r="O1015"/>
  <c r="J1015"/>
  <c r="P1014"/>
  <c r="S1014" s="1"/>
  <c r="O1014"/>
  <c r="J1014"/>
  <c r="P1013"/>
  <c r="S1013" s="1"/>
  <c r="O1013"/>
  <c r="J1013"/>
  <c r="P1012"/>
  <c r="S1012" s="1"/>
  <c r="O1012"/>
  <c r="J1012"/>
  <c r="P1011"/>
  <c r="S1011" s="1"/>
  <c r="O1011"/>
  <c r="J1011"/>
  <c r="P1010"/>
  <c r="S1010" s="1"/>
  <c r="O1010"/>
  <c r="J1010"/>
  <c r="P1009"/>
  <c r="S1009" s="1"/>
  <c r="O1009"/>
  <c r="J1009"/>
  <c r="P1008"/>
  <c r="S1008" s="1"/>
  <c r="O1008"/>
  <c r="J1008"/>
  <c r="P1007"/>
  <c r="S1007" s="1"/>
  <c r="O1007"/>
  <c r="J1007"/>
  <c r="P1006"/>
  <c r="S1006" s="1"/>
  <c r="O1006"/>
  <c r="J1006"/>
  <c r="P1005"/>
  <c r="S1005" s="1"/>
  <c r="O1005"/>
  <c r="J1005"/>
  <c r="P1004"/>
  <c r="S1004" s="1"/>
  <c r="O1004"/>
  <c r="J1004"/>
  <c r="P1003"/>
  <c r="S1003" s="1"/>
  <c r="O1003"/>
  <c r="J1003"/>
  <c r="P1002"/>
  <c r="S1002" s="1"/>
  <c r="O1002"/>
  <c r="J1002"/>
  <c r="P1001"/>
  <c r="S1001" s="1"/>
  <c r="O1001"/>
  <c r="J1001"/>
  <c r="P1000"/>
  <c r="S1000" s="1"/>
  <c r="O1000"/>
  <c r="J1000"/>
  <c r="P999"/>
  <c r="S999" s="1"/>
  <c r="O999"/>
  <c r="J999"/>
  <c r="P998"/>
  <c r="S998" s="1"/>
  <c r="O998"/>
  <c r="J998"/>
  <c r="P997"/>
  <c r="S997" s="1"/>
  <c r="O997"/>
  <c r="J997"/>
  <c r="P996"/>
  <c r="S996" s="1"/>
  <c r="O996"/>
  <c r="J996"/>
  <c r="P995"/>
  <c r="S995" s="1"/>
  <c r="O995"/>
  <c r="J995"/>
  <c r="P994"/>
  <c r="S994" s="1"/>
  <c r="O994"/>
  <c r="J994"/>
  <c r="P993"/>
  <c r="S993" s="1"/>
  <c r="O993"/>
  <c r="J993"/>
  <c r="P992"/>
  <c r="S992" s="1"/>
  <c r="O992"/>
  <c r="J992"/>
  <c r="P991"/>
  <c r="S991" s="1"/>
  <c r="O991"/>
  <c r="J991"/>
  <c r="P990"/>
  <c r="S990" s="1"/>
  <c r="O990"/>
  <c r="J990"/>
  <c r="P989"/>
  <c r="S989" s="1"/>
  <c r="O989"/>
  <c r="J989"/>
  <c r="P988"/>
  <c r="S988" s="1"/>
  <c r="O988"/>
  <c r="J988"/>
  <c r="P987"/>
  <c r="S987" s="1"/>
  <c r="O987"/>
  <c r="J987"/>
  <c r="P986"/>
  <c r="S986" s="1"/>
  <c r="O986"/>
  <c r="J986"/>
  <c r="P985"/>
  <c r="S985" s="1"/>
  <c r="O985"/>
  <c r="J985"/>
  <c r="P984"/>
  <c r="S984" s="1"/>
  <c r="O984"/>
  <c r="J984"/>
  <c r="P983"/>
  <c r="S983" s="1"/>
  <c r="O983"/>
  <c r="J983"/>
  <c r="P982"/>
  <c r="S982" s="1"/>
  <c r="O982"/>
  <c r="J982"/>
  <c r="P981"/>
  <c r="S981" s="1"/>
  <c r="O981"/>
  <c r="J981"/>
  <c r="P980"/>
  <c r="S980" s="1"/>
  <c r="O980"/>
  <c r="J980"/>
  <c r="P979"/>
  <c r="S979" s="1"/>
  <c r="O979"/>
  <c r="J979"/>
  <c r="P978"/>
  <c r="S978" s="1"/>
  <c r="O978"/>
  <c r="J978"/>
  <c r="P977"/>
  <c r="S977" s="1"/>
  <c r="O977"/>
  <c r="J977"/>
  <c r="P976"/>
  <c r="S976" s="1"/>
  <c r="O976"/>
  <c r="J976"/>
  <c r="P975"/>
  <c r="S975" s="1"/>
  <c r="O975"/>
  <c r="J975"/>
  <c r="P974"/>
  <c r="S974" s="1"/>
  <c r="O974"/>
  <c r="J974"/>
  <c r="P973"/>
  <c r="S973" s="1"/>
  <c r="O973"/>
  <c r="J973"/>
  <c r="P972"/>
  <c r="S972" s="1"/>
  <c r="O972"/>
  <c r="J972"/>
  <c r="P971"/>
  <c r="S971" s="1"/>
  <c r="O971"/>
  <c r="J971"/>
  <c r="P970"/>
  <c r="S970" s="1"/>
  <c r="O970"/>
  <c r="J970"/>
  <c r="P969"/>
  <c r="S969" s="1"/>
  <c r="O969"/>
  <c r="J969"/>
  <c r="P968"/>
  <c r="S968" s="1"/>
  <c r="O968"/>
  <c r="J968"/>
  <c r="P967"/>
  <c r="S967" s="1"/>
  <c r="O967"/>
  <c r="J967"/>
  <c r="P966"/>
  <c r="S966" s="1"/>
  <c r="O966"/>
  <c r="J966"/>
  <c r="P965"/>
  <c r="S965" s="1"/>
  <c r="O965"/>
  <c r="J965"/>
  <c r="P964"/>
  <c r="S964" s="1"/>
  <c r="O964"/>
  <c r="J964"/>
  <c r="P963"/>
  <c r="S963" s="1"/>
  <c r="O963"/>
  <c r="J963"/>
  <c r="P962"/>
  <c r="S962" s="1"/>
  <c r="O962"/>
  <c r="J962"/>
  <c r="P961"/>
  <c r="S961" s="1"/>
  <c r="O961"/>
  <c r="J961"/>
  <c r="P960"/>
  <c r="S960" s="1"/>
  <c r="O960"/>
  <c r="J960"/>
  <c r="P959"/>
  <c r="S959" s="1"/>
  <c r="O959"/>
  <c r="J959"/>
  <c r="P958"/>
  <c r="S958" s="1"/>
  <c r="O958"/>
  <c r="J958"/>
  <c r="P957"/>
  <c r="S957" s="1"/>
  <c r="O957"/>
  <c r="J957"/>
  <c r="P956"/>
  <c r="S956" s="1"/>
  <c r="O956"/>
  <c r="J956"/>
  <c r="P955"/>
  <c r="S955" s="1"/>
  <c r="O955"/>
  <c r="J955"/>
  <c r="P954"/>
  <c r="S954" s="1"/>
  <c r="O954"/>
  <c r="J954"/>
  <c r="P953"/>
  <c r="S953" s="1"/>
  <c r="O953"/>
  <c r="J953"/>
  <c r="P952"/>
  <c r="S952" s="1"/>
  <c r="O952"/>
  <c r="J952"/>
  <c r="P951"/>
  <c r="S951" s="1"/>
  <c r="O951"/>
  <c r="J951"/>
  <c r="P950"/>
  <c r="S950" s="1"/>
  <c r="O950"/>
  <c r="J950"/>
  <c r="P949"/>
  <c r="S949" s="1"/>
  <c r="O949"/>
  <c r="J949"/>
  <c r="P948"/>
  <c r="S948" s="1"/>
  <c r="O948"/>
  <c r="J948"/>
  <c r="P947"/>
  <c r="S947" s="1"/>
  <c r="O947"/>
  <c r="J947"/>
  <c r="P946"/>
  <c r="S946" s="1"/>
  <c r="O946"/>
  <c r="J946"/>
  <c r="P945"/>
  <c r="S945" s="1"/>
  <c r="O945"/>
  <c r="J945"/>
  <c r="P944"/>
  <c r="S944" s="1"/>
  <c r="O944"/>
  <c r="J944"/>
  <c r="P943"/>
  <c r="S943" s="1"/>
  <c r="O943"/>
  <c r="J943"/>
  <c r="P942"/>
  <c r="S942" s="1"/>
  <c r="O942"/>
  <c r="J942"/>
  <c r="P941"/>
  <c r="S941" s="1"/>
  <c r="O941"/>
  <c r="J941"/>
  <c r="P940"/>
  <c r="S940" s="1"/>
  <c r="O940"/>
  <c r="J940"/>
  <c r="P939"/>
  <c r="S939" s="1"/>
  <c r="O939"/>
  <c r="J939"/>
  <c r="P938"/>
  <c r="S938" s="1"/>
  <c r="O938"/>
  <c r="J938"/>
  <c r="P937"/>
  <c r="S937" s="1"/>
  <c r="O937"/>
  <c r="J937"/>
  <c r="P936"/>
  <c r="S936" s="1"/>
  <c r="O936"/>
  <c r="J936"/>
  <c r="P935"/>
  <c r="S935" s="1"/>
  <c r="O935"/>
  <c r="J935"/>
  <c r="P934"/>
  <c r="S934" s="1"/>
  <c r="O934"/>
  <c r="J934"/>
  <c r="P933"/>
  <c r="S933" s="1"/>
  <c r="O933"/>
  <c r="J933"/>
  <c r="P932"/>
  <c r="S932" s="1"/>
  <c r="O932"/>
  <c r="J932"/>
  <c r="P931"/>
  <c r="S931" s="1"/>
  <c r="O931"/>
  <c r="J931"/>
  <c r="P930"/>
  <c r="S930" s="1"/>
  <c r="O930"/>
  <c r="J930"/>
  <c r="P929"/>
  <c r="S929" s="1"/>
  <c r="O929"/>
  <c r="J929"/>
  <c r="P928"/>
  <c r="S928" s="1"/>
  <c r="O928"/>
  <c r="J928"/>
  <c r="P927"/>
  <c r="S927" s="1"/>
  <c r="O927"/>
  <c r="J927"/>
  <c r="P926"/>
  <c r="S926" s="1"/>
  <c r="O926"/>
  <c r="J926"/>
  <c r="P925"/>
  <c r="S925" s="1"/>
  <c r="O925"/>
  <c r="J925"/>
  <c r="P924"/>
  <c r="S924" s="1"/>
  <c r="O924"/>
  <c r="J924"/>
  <c r="P923"/>
  <c r="S923" s="1"/>
  <c r="O923"/>
  <c r="J923"/>
  <c r="P922"/>
  <c r="S922" s="1"/>
  <c r="O922"/>
  <c r="J922"/>
  <c r="P921"/>
  <c r="S921" s="1"/>
  <c r="O921"/>
  <c r="J921"/>
  <c r="P920"/>
  <c r="S920" s="1"/>
  <c r="O920"/>
  <c r="J920"/>
  <c r="P919"/>
  <c r="S919" s="1"/>
  <c r="O919"/>
  <c r="J919"/>
  <c r="P918"/>
  <c r="S918" s="1"/>
  <c r="O918"/>
  <c r="J918"/>
  <c r="P917"/>
  <c r="S917" s="1"/>
  <c r="O917"/>
  <c r="J917"/>
  <c r="P916"/>
  <c r="S916" s="1"/>
  <c r="O916"/>
  <c r="J916"/>
  <c r="P915"/>
  <c r="S915" s="1"/>
  <c r="O915"/>
  <c r="J915"/>
  <c r="P914"/>
  <c r="S914" s="1"/>
  <c r="O914"/>
  <c r="J914"/>
  <c r="P913"/>
  <c r="S913" s="1"/>
  <c r="O913"/>
  <c r="J913"/>
  <c r="P912"/>
  <c r="S912" s="1"/>
  <c r="O912"/>
  <c r="J912"/>
  <c r="P911"/>
  <c r="S911" s="1"/>
  <c r="O911"/>
  <c r="J911"/>
  <c r="P910"/>
  <c r="S910" s="1"/>
  <c r="O910"/>
  <c r="J910"/>
  <c r="P909"/>
  <c r="S909" s="1"/>
  <c r="O909"/>
  <c r="J909"/>
  <c r="P908"/>
  <c r="S908" s="1"/>
  <c r="O908"/>
  <c r="J908"/>
  <c r="P907"/>
  <c r="S907" s="1"/>
  <c r="O907"/>
  <c r="J907"/>
  <c r="P906"/>
  <c r="S906" s="1"/>
  <c r="O906"/>
  <c r="J906"/>
  <c r="P905"/>
  <c r="S905" s="1"/>
  <c r="O905"/>
  <c r="J905"/>
  <c r="P904"/>
  <c r="S904" s="1"/>
  <c r="O904"/>
  <c r="J904"/>
  <c r="P903"/>
  <c r="S903" s="1"/>
  <c r="O903"/>
  <c r="J903"/>
  <c r="P902"/>
  <c r="S902" s="1"/>
  <c r="O902"/>
  <c r="J902"/>
  <c r="P901"/>
  <c r="S901" s="1"/>
  <c r="O901"/>
  <c r="J901"/>
  <c r="P900"/>
  <c r="S900" s="1"/>
  <c r="O900"/>
  <c r="J900"/>
  <c r="P899"/>
  <c r="S899" s="1"/>
  <c r="O899"/>
  <c r="J899"/>
  <c r="P898"/>
  <c r="S898" s="1"/>
  <c r="O898"/>
  <c r="J898"/>
  <c r="P897"/>
  <c r="S897" s="1"/>
  <c r="O897"/>
  <c r="J897"/>
  <c r="P896"/>
  <c r="S896" s="1"/>
  <c r="O896"/>
  <c r="J896"/>
  <c r="P895"/>
  <c r="S895" s="1"/>
  <c r="O895"/>
  <c r="J895"/>
  <c r="P894"/>
  <c r="S894" s="1"/>
  <c r="O894"/>
  <c r="J894"/>
  <c r="P893"/>
  <c r="S893" s="1"/>
  <c r="O893"/>
  <c r="J893"/>
  <c r="P892"/>
  <c r="S892" s="1"/>
  <c r="O892"/>
  <c r="J892"/>
  <c r="P891"/>
  <c r="S891" s="1"/>
  <c r="O891"/>
  <c r="J891"/>
  <c r="P890"/>
  <c r="S890" s="1"/>
  <c r="O890"/>
  <c r="J890"/>
  <c r="P889"/>
  <c r="S889" s="1"/>
  <c r="O889"/>
  <c r="J889"/>
  <c r="P888"/>
  <c r="S888" s="1"/>
  <c r="O888"/>
  <c r="J888"/>
  <c r="P887"/>
  <c r="S887" s="1"/>
  <c r="O887"/>
  <c r="J887"/>
  <c r="P886"/>
  <c r="S886" s="1"/>
  <c r="O886"/>
  <c r="J886"/>
  <c r="P885"/>
  <c r="S885" s="1"/>
  <c r="O885"/>
  <c r="J885"/>
  <c r="P884"/>
  <c r="S884" s="1"/>
  <c r="O884"/>
  <c r="J884"/>
  <c r="P883"/>
  <c r="S883" s="1"/>
  <c r="O883"/>
  <c r="J883"/>
  <c r="P882"/>
  <c r="S882" s="1"/>
  <c r="O882"/>
  <c r="J882"/>
  <c r="P881"/>
  <c r="S881" s="1"/>
  <c r="O881"/>
  <c r="J881"/>
  <c r="P880"/>
  <c r="S880" s="1"/>
  <c r="O880"/>
  <c r="J880"/>
  <c r="P879"/>
  <c r="S879" s="1"/>
  <c r="O879"/>
  <c r="J879"/>
  <c r="P878"/>
  <c r="S878" s="1"/>
  <c r="O878"/>
  <c r="J878"/>
  <c r="P877"/>
  <c r="S877" s="1"/>
  <c r="O877"/>
  <c r="J877"/>
  <c r="P876"/>
  <c r="S876" s="1"/>
  <c r="O876"/>
  <c r="J876"/>
  <c r="P875"/>
  <c r="S875" s="1"/>
  <c r="O875"/>
  <c r="J875"/>
  <c r="P874"/>
  <c r="S874" s="1"/>
  <c r="O874"/>
  <c r="J874"/>
  <c r="P873"/>
  <c r="S873" s="1"/>
  <c r="O873"/>
  <c r="J873"/>
  <c r="P872"/>
  <c r="S872" s="1"/>
  <c r="O872"/>
  <c r="J872"/>
  <c r="P871"/>
  <c r="S871" s="1"/>
  <c r="O871"/>
  <c r="J871"/>
  <c r="P870"/>
  <c r="S870" s="1"/>
  <c r="O870"/>
  <c r="J870"/>
  <c r="P869"/>
  <c r="S869" s="1"/>
  <c r="O869"/>
  <c r="J869"/>
  <c r="P868"/>
  <c r="S868" s="1"/>
  <c r="O868"/>
  <c r="J868"/>
  <c r="P867"/>
  <c r="S867" s="1"/>
  <c r="O867"/>
  <c r="J867"/>
  <c r="P866"/>
  <c r="S866" s="1"/>
  <c r="O866"/>
  <c r="J866"/>
  <c r="P865"/>
  <c r="S865" s="1"/>
  <c r="O865"/>
  <c r="J865"/>
  <c r="P864"/>
  <c r="S864" s="1"/>
  <c r="O864"/>
  <c r="J864"/>
  <c r="P863"/>
  <c r="S863" s="1"/>
  <c r="O863"/>
  <c r="J863"/>
  <c r="P862"/>
  <c r="S862" s="1"/>
  <c r="O862"/>
  <c r="J862"/>
  <c r="P861"/>
  <c r="S861" s="1"/>
  <c r="O861"/>
  <c r="J861"/>
  <c r="P860"/>
  <c r="S860" s="1"/>
  <c r="O860"/>
  <c r="J860"/>
  <c r="P859"/>
  <c r="S859" s="1"/>
  <c r="O859"/>
  <c r="J859"/>
  <c r="P858"/>
  <c r="S858" s="1"/>
  <c r="O858"/>
  <c r="J858"/>
  <c r="P857"/>
  <c r="S857" s="1"/>
  <c r="O857"/>
  <c r="J857"/>
  <c r="P856"/>
  <c r="S856" s="1"/>
  <c r="O856"/>
  <c r="J856"/>
  <c r="P855"/>
  <c r="S855" s="1"/>
  <c r="O855"/>
  <c r="J855"/>
  <c r="P854"/>
  <c r="S854" s="1"/>
  <c r="O854"/>
  <c r="J854"/>
  <c r="P853"/>
  <c r="S853" s="1"/>
  <c r="O853"/>
  <c r="J853"/>
  <c r="P852"/>
  <c r="S852" s="1"/>
  <c r="O852"/>
  <c r="J852"/>
  <c r="P851"/>
  <c r="S851" s="1"/>
  <c r="O851"/>
  <c r="J851"/>
  <c r="P850"/>
  <c r="S850" s="1"/>
  <c r="O850"/>
  <c r="J850"/>
  <c r="P849"/>
  <c r="S849" s="1"/>
  <c r="O849"/>
  <c r="J849"/>
  <c r="P848"/>
  <c r="S848" s="1"/>
  <c r="O848"/>
  <c r="J848"/>
  <c r="P847"/>
  <c r="S847" s="1"/>
  <c r="O847"/>
  <c r="J847"/>
  <c r="P846"/>
  <c r="S846" s="1"/>
  <c r="O846"/>
  <c r="J846"/>
  <c r="P845"/>
  <c r="S845" s="1"/>
  <c r="O845"/>
  <c r="J845"/>
  <c r="P844"/>
  <c r="S844" s="1"/>
  <c r="O844"/>
  <c r="J844"/>
  <c r="P843"/>
  <c r="S843" s="1"/>
  <c r="O843"/>
  <c r="J843"/>
  <c r="P842"/>
  <c r="S842" s="1"/>
  <c r="O842"/>
  <c r="J842"/>
  <c r="P841"/>
  <c r="S841" s="1"/>
  <c r="O841"/>
  <c r="J841"/>
  <c r="P840"/>
  <c r="S840" s="1"/>
  <c r="O840"/>
  <c r="J840"/>
  <c r="P839"/>
  <c r="S839" s="1"/>
  <c r="O839"/>
  <c r="J839"/>
  <c r="P838"/>
  <c r="S838" s="1"/>
  <c r="O838"/>
  <c r="J838"/>
  <c r="P837"/>
  <c r="S837" s="1"/>
  <c r="O837"/>
  <c r="J837"/>
  <c r="P836"/>
  <c r="S836" s="1"/>
  <c r="O836"/>
  <c r="J836"/>
  <c r="P835"/>
  <c r="S835" s="1"/>
  <c r="O835"/>
  <c r="J835"/>
  <c r="P834"/>
  <c r="S834" s="1"/>
  <c r="O834"/>
  <c r="J834"/>
  <c r="P833"/>
  <c r="S833" s="1"/>
  <c r="O833"/>
  <c r="J833"/>
  <c r="P832"/>
  <c r="S832" s="1"/>
  <c r="O832"/>
  <c r="J832"/>
  <c r="P831"/>
  <c r="S831" s="1"/>
  <c r="O831"/>
  <c r="J831"/>
  <c r="P830"/>
  <c r="S830" s="1"/>
  <c r="O830"/>
  <c r="J830"/>
  <c r="P829"/>
  <c r="S829" s="1"/>
  <c r="O829"/>
  <c r="J829"/>
  <c r="P828"/>
  <c r="S828" s="1"/>
  <c r="O828"/>
  <c r="J828"/>
  <c r="P827"/>
  <c r="S827" s="1"/>
  <c r="O827"/>
  <c r="J827"/>
  <c r="P826"/>
  <c r="S826" s="1"/>
  <c r="O826"/>
  <c r="J826"/>
  <c r="P825"/>
  <c r="S825" s="1"/>
  <c r="O825"/>
  <c r="J825"/>
  <c r="P824"/>
  <c r="S824" s="1"/>
  <c r="O824"/>
  <c r="J824"/>
  <c r="P823"/>
  <c r="S823" s="1"/>
  <c r="O823"/>
  <c r="J823"/>
  <c r="P822"/>
  <c r="S822" s="1"/>
  <c r="O822"/>
  <c r="J822"/>
  <c r="P821"/>
  <c r="S821" s="1"/>
  <c r="O821"/>
  <c r="J821"/>
  <c r="P820"/>
  <c r="S820" s="1"/>
  <c r="O820"/>
  <c r="J820"/>
  <c r="P819"/>
  <c r="S819" s="1"/>
  <c r="O819"/>
  <c r="J819"/>
  <c r="P818"/>
  <c r="S818" s="1"/>
  <c r="O818"/>
  <c r="J818"/>
  <c r="P817"/>
  <c r="S817" s="1"/>
  <c r="O817"/>
  <c r="J817"/>
  <c r="P816"/>
  <c r="S816" s="1"/>
  <c r="O816"/>
  <c r="J816"/>
  <c r="P815"/>
  <c r="S815" s="1"/>
  <c r="O815"/>
  <c r="J815"/>
  <c r="P814"/>
  <c r="S814" s="1"/>
  <c r="O814"/>
  <c r="J814"/>
  <c r="P813"/>
  <c r="S813" s="1"/>
  <c r="O813"/>
  <c r="J813"/>
  <c r="P812"/>
  <c r="S812" s="1"/>
  <c r="O812"/>
  <c r="J812"/>
  <c r="P811"/>
  <c r="S811" s="1"/>
  <c r="O811"/>
  <c r="J811"/>
  <c r="P810"/>
  <c r="S810" s="1"/>
  <c r="O810"/>
  <c r="J810"/>
  <c r="P809"/>
  <c r="S809" s="1"/>
  <c r="O809"/>
  <c r="J809"/>
  <c r="P808"/>
  <c r="S808" s="1"/>
  <c r="O808"/>
  <c r="J808"/>
  <c r="P807"/>
  <c r="S807" s="1"/>
  <c r="O807"/>
  <c r="J807"/>
  <c r="P806"/>
  <c r="S806" s="1"/>
  <c r="O806"/>
  <c r="J806"/>
  <c r="P805"/>
  <c r="S805" s="1"/>
  <c r="O805"/>
  <c r="J805"/>
  <c r="P804"/>
  <c r="S804" s="1"/>
  <c r="O804"/>
  <c r="J804"/>
  <c r="P803"/>
  <c r="S803" s="1"/>
  <c r="O803"/>
  <c r="J803"/>
  <c r="P802"/>
  <c r="S802" s="1"/>
  <c r="O802"/>
  <c r="J802"/>
  <c r="P801"/>
  <c r="S801" s="1"/>
  <c r="O801"/>
  <c r="J801"/>
  <c r="P800"/>
  <c r="S800" s="1"/>
  <c r="O800"/>
  <c r="J800"/>
  <c r="P799"/>
  <c r="S799" s="1"/>
  <c r="O799"/>
  <c r="J799"/>
  <c r="P798"/>
  <c r="S798" s="1"/>
  <c r="O798"/>
  <c r="J798"/>
  <c r="P797"/>
  <c r="S797" s="1"/>
  <c r="O797"/>
  <c r="J797"/>
  <c r="P796"/>
  <c r="S796" s="1"/>
  <c r="O796"/>
  <c r="J796"/>
  <c r="P795"/>
  <c r="S795" s="1"/>
  <c r="O795"/>
  <c r="J795"/>
  <c r="P794"/>
  <c r="S794" s="1"/>
  <c r="O794"/>
  <c r="J794"/>
  <c r="P793"/>
  <c r="S793" s="1"/>
  <c r="O793"/>
  <c r="J793"/>
  <c r="P792"/>
  <c r="S792" s="1"/>
  <c r="O792"/>
  <c r="J792"/>
  <c r="P791"/>
  <c r="S791" s="1"/>
  <c r="O791"/>
  <c r="J791"/>
  <c r="P790"/>
  <c r="S790" s="1"/>
  <c r="O790"/>
  <c r="J790"/>
  <c r="P789"/>
  <c r="S789" s="1"/>
  <c r="O789"/>
  <c r="J789"/>
  <c r="P788"/>
  <c r="S788" s="1"/>
  <c r="O788"/>
  <c r="J788"/>
  <c r="P787"/>
  <c r="S787" s="1"/>
  <c r="O787"/>
  <c r="J787"/>
  <c r="P786"/>
  <c r="O786"/>
  <c r="J786"/>
  <c r="P784"/>
  <c r="S784" s="1"/>
  <c r="O784"/>
  <c r="K784"/>
  <c r="P783"/>
  <c r="S783" s="1"/>
  <c r="O783"/>
  <c r="K783"/>
  <c r="P782"/>
  <c r="S782" s="1"/>
  <c r="O782"/>
  <c r="K782"/>
  <c r="P781"/>
  <c r="S781" s="1"/>
  <c r="O781"/>
  <c r="K781"/>
  <c r="P780"/>
  <c r="S780" s="1"/>
  <c r="O780"/>
  <c r="K780"/>
  <c r="P779"/>
  <c r="S779" s="1"/>
  <c r="O779"/>
  <c r="K779"/>
  <c r="P778"/>
  <c r="S778" s="1"/>
  <c r="O778"/>
  <c r="K778"/>
  <c r="P777"/>
  <c r="S777" s="1"/>
  <c r="O777"/>
  <c r="K777"/>
  <c r="P776"/>
  <c r="S776" s="1"/>
  <c r="O776"/>
  <c r="K776"/>
  <c r="P775"/>
  <c r="S775" s="1"/>
  <c r="O775"/>
  <c r="K775"/>
  <c r="P774"/>
  <c r="S774" s="1"/>
  <c r="O774"/>
  <c r="K774"/>
  <c r="P773"/>
  <c r="S773" s="1"/>
  <c r="O773"/>
  <c r="K773"/>
  <c r="P772"/>
  <c r="S772" s="1"/>
  <c r="O772"/>
  <c r="K772"/>
  <c r="P771"/>
  <c r="S771" s="1"/>
  <c r="O771"/>
  <c r="K771"/>
  <c r="P770"/>
  <c r="S770" s="1"/>
  <c r="O770"/>
  <c r="K770"/>
  <c r="P769"/>
  <c r="S769" s="1"/>
  <c r="O769"/>
  <c r="K769"/>
  <c r="P768"/>
  <c r="S768" s="1"/>
  <c r="O768"/>
  <c r="K768"/>
  <c r="P767"/>
  <c r="S767" s="1"/>
  <c r="O767"/>
  <c r="K767"/>
  <c r="P766"/>
  <c r="S766" s="1"/>
  <c r="O766"/>
  <c r="K766"/>
  <c r="P765"/>
  <c r="S765" s="1"/>
  <c r="O765"/>
  <c r="K765"/>
  <c r="P764"/>
  <c r="S764" s="1"/>
  <c r="O764"/>
  <c r="K764"/>
  <c r="P763"/>
  <c r="S763" s="1"/>
  <c r="O763"/>
  <c r="K763"/>
  <c r="P762"/>
  <c r="S762" s="1"/>
  <c r="O762"/>
  <c r="K762"/>
  <c r="P761"/>
  <c r="S761" s="1"/>
  <c r="O761"/>
  <c r="K761"/>
  <c r="P760"/>
  <c r="S760" s="1"/>
  <c r="O760"/>
  <c r="K760"/>
  <c r="P759"/>
  <c r="S759" s="1"/>
  <c r="O759"/>
  <c r="K759"/>
  <c r="P758"/>
  <c r="S758" s="1"/>
  <c r="O758"/>
  <c r="K758"/>
  <c r="P757"/>
  <c r="S757" s="1"/>
  <c r="O757"/>
  <c r="K757"/>
  <c r="P756"/>
  <c r="S756" s="1"/>
  <c r="O756"/>
  <c r="K756"/>
  <c r="P755"/>
  <c r="S755" s="1"/>
  <c r="O755"/>
  <c r="K755"/>
  <c r="P754"/>
  <c r="S754" s="1"/>
  <c r="O754"/>
  <c r="K754"/>
  <c r="P753"/>
  <c r="S753" s="1"/>
  <c r="O753"/>
  <c r="K753"/>
  <c r="P751"/>
  <c r="S751" s="1"/>
  <c r="O751"/>
  <c r="J751"/>
  <c r="P750"/>
  <c r="S750" s="1"/>
  <c r="O750"/>
  <c r="J750"/>
  <c r="P749"/>
  <c r="S749" s="1"/>
  <c r="J749"/>
  <c r="P748"/>
  <c r="S748" s="1"/>
  <c r="O748"/>
  <c r="J748"/>
  <c r="P747"/>
  <c r="S747" s="1"/>
  <c r="J747"/>
  <c r="P746"/>
  <c r="S746" s="1"/>
  <c r="O746"/>
  <c r="J746"/>
  <c r="P745"/>
  <c r="S745" s="1"/>
  <c r="O745"/>
  <c r="J745"/>
  <c r="P744"/>
  <c r="S744" s="1"/>
  <c r="O744"/>
  <c r="J744"/>
  <c r="P743"/>
  <c r="S743" s="1"/>
  <c r="O743"/>
  <c r="J743"/>
  <c r="P742"/>
  <c r="S742" s="1"/>
  <c r="O742"/>
  <c r="J742"/>
  <c r="P741"/>
  <c r="S741" s="1"/>
  <c r="O741"/>
  <c r="J741"/>
  <c r="P740"/>
  <c r="S740" s="1"/>
  <c r="J740"/>
  <c r="P739"/>
  <c r="S739" s="1"/>
  <c r="J739"/>
  <c r="P738"/>
  <c r="S738" s="1"/>
  <c r="O738"/>
  <c r="J738"/>
  <c r="P737"/>
  <c r="S737" s="1"/>
  <c r="O737"/>
  <c r="J737"/>
  <c r="P736"/>
  <c r="S736" s="1"/>
  <c r="O736"/>
  <c r="J736"/>
  <c r="P735"/>
  <c r="S735" s="1"/>
  <c r="O735"/>
  <c r="J735"/>
  <c r="P734"/>
  <c r="S734" s="1"/>
  <c r="O734"/>
  <c r="J734"/>
  <c r="P733"/>
  <c r="O733"/>
  <c r="H733"/>
  <c r="P732"/>
  <c r="O732"/>
  <c r="H732"/>
  <c r="P731"/>
  <c r="O731"/>
  <c r="H731"/>
  <c r="P730"/>
  <c r="R732" s="1"/>
  <c r="O730"/>
  <c r="P729"/>
  <c r="O729"/>
  <c r="H729"/>
  <c r="P728"/>
  <c r="O728"/>
  <c r="H728"/>
  <c r="P727"/>
  <c r="O727"/>
  <c r="H727"/>
  <c r="P726"/>
  <c r="R727" s="1"/>
  <c r="O726"/>
  <c r="P724"/>
  <c r="S724" s="1"/>
  <c r="O724"/>
  <c r="K724"/>
  <c r="P723"/>
  <c r="S723" s="1"/>
  <c r="O723"/>
  <c r="K723"/>
  <c r="P722"/>
  <c r="S722" s="1"/>
  <c r="O722"/>
  <c r="K722"/>
  <c r="P721"/>
  <c r="S721" s="1"/>
  <c r="O721"/>
  <c r="K721"/>
  <c r="P720"/>
  <c r="S720" s="1"/>
  <c r="O720"/>
  <c r="K720"/>
  <c r="P719"/>
  <c r="S719" s="1"/>
  <c r="O719"/>
  <c r="K719"/>
  <c r="P718"/>
  <c r="S718" s="1"/>
  <c r="O718"/>
  <c r="K718"/>
  <c r="P717"/>
  <c r="S717" s="1"/>
  <c r="O717"/>
  <c r="K717"/>
  <c r="P716"/>
  <c r="S716" s="1"/>
  <c r="O716"/>
  <c r="K716"/>
  <c r="P715"/>
  <c r="S715" s="1"/>
  <c r="O715"/>
  <c r="K715"/>
  <c r="P714"/>
  <c r="S714" s="1"/>
  <c r="O714"/>
  <c r="K714"/>
  <c r="P713"/>
  <c r="S713" s="1"/>
  <c r="O713"/>
  <c r="K713"/>
  <c r="P712"/>
  <c r="S712" s="1"/>
  <c r="O712"/>
  <c r="K712"/>
  <c r="P711"/>
  <c r="S711" s="1"/>
  <c r="O711"/>
  <c r="K711"/>
  <c r="P710"/>
  <c r="S710" s="1"/>
  <c r="O710"/>
  <c r="K710"/>
  <c r="P709"/>
  <c r="S709" s="1"/>
  <c r="O709"/>
  <c r="K709"/>
  <c r="P708"/>
  <c r="S708" s="1"/>
  <c r="O708"/>
  <c r="K708"/>
  <c r="P707"/>
  <c r="S707" s="1"/>
  <c r="O707"/>
  <c r="K707"/>
  <c r="P706"/>
  <c r="S706" s="1"/>
  <c r="O706"/>
  <c r="K706"/>
  <c r="P705"/>
  <c r="S705" s="1"/>
  <c r="O705"/>
  <c r="K705"/>
  <c r="P704"/>
  <c r="S704" s="1"/>
  <c r="O704"/>
  <c r="K704"/>
  <c r="P703"/>
  <c r="S703" s="1"/>
  <c r="O703"/>
  <c r="K703"/>
  <c r="P702"/>
  <c r="S702" s="1"/>
  <c r="O702"/>
  <c r="K702"/>
  <c r="P701"/>
  <c r="S701" s="1"/>
  <c r="O701"/>
  <c r="K701"/>
  <c r="P700"/>
  <c r="S700" s="1"/>
  <c r="O700"/>
  <c r="K700"/>
  <c r="P699"/>
  <c r="S699" s="1"/>
  <c r="O699"/>
  <c r="K699"/>
  <c r="P698"/>
  <c r="S698" s="1"/>
  <c r="O698"/>
  <c r="K698"/>
  <c r="P697"/>
  <c r="S697" s="1"/>
  <c r="O697"/>
  <c r="K697"/>
  <c r="P696"/>
  <c r="S696" s="1"/>
  <c r="O696"/>
  <c r="K696"/>
  <c r="P695"/>
  <c r="S695" s="1"/>
  <c r="O695"/>
  <c r="K695"/>
  <c r="P694"/>
  <c r="S694" s="1"/>
  <c r="O694"/>
  <c r="K694"/>
  <c r="P693"/>
  <c r="O693"/>
  <c r="K693"/>
  <c r="P691"/>
  <c r="S691" s="1"/>
  <c r="O691"/>
  <c r="J691"/>
  <c r="P690"/>
  <c r="S690" s="1"/>
  <c r="O690"/>
  <c r="J690"/>
  <c r="P689"/>
  <c r="S689" s="1"/>
  <c r="O689"/>
  <c r="J689"/>
  <c r="P688"/>
  <c r="S688" s="1"/>
  <c r="J688"/>
  <c r="P687"/>
  <c r="S687" s="1"/>
  <c r="J687"/>
  <c r="P686"/>
  <c r="S686" s="1"/>
  <c r="O686"/>
  <c r="J686"/>
  <c r="P685"/>
  <c r="S685" s="1"/>
  <c r="O685"/>
  <c r="J685"/>
  <c r="P684"/>
  <c r="S684" s="1"/>
  <c r="O684"/>
  <c r="J684"/>
  <c r="P683"/>
  <c r="S683" s="1"/>
  <c r="J683"/>
  <c r="P682"/>
  <c r="S682" s="1"/>
  <c r="O682"/>
  <c r="J682"/>
  <c r="P681"/>
  <c r="S681" s="1"/>
  <c r="J681"/>
  <c r="P680"/>
  <c r="S680" s="1"/>
  <c r="O680"/>
  <c r="J680"/>
  <c r="P679"/>
  <c r="S679" s="1"/>
  <c r="O679"/>
  <c r="J679"/>
  <c r="P678"/>
  <c r="S678" s="1"/>
  <c r="O678"/>
  <c r="H678"/>
  <c r="J678" s="1"/>
  <c r="P677"/>
  <c r="S677" s="1"/>
  <c r="O677"/>
  <c r="H677"/>
  <c r="J677" s="1"/>
  <c r="P676"/>
  <c r="S676" s="1"/>
  <c r="O676"/>
  <c r="H676"/>
  <c r="J676" s="1"/>
  <c r="P675"/>
  <c r="S675" s="1"/>
  <c r="O675"/>
  <c r="H675"/>
  <c r="J675" s="1"/>
  <c r="P674"/>
  <c r="S674" s="1"/>
  <c r="O674"/>
  <c r="H674"/>
  <c r="J674" s="1"/>
  <c r="P673"/>
  <c r="S673" s="1"/>
  <c r="O673"/>
  <c r="H673"/>
  <c r="J673" s="1"/>
  <c r="P672"/>
  <c r="S672" s="1"/>
  <c r="O672"/>
  <c r="H672"/>
  <c r="J672" s="1"/>
  <c r="P671"/>
  <c r="S671" s="1"/>
  <c r="O671"/>
  <c r="G671"/>
  <c r="H671" s="1"/>
  <c r="J671" s="1"/>
  <c r="P670"/>
  <c r="S670" s="1"/>
  <c r="O670"/>
  <c r="G670"/>
  <c r="H670" s="1"/>
  <c r="J670" s="1"/>
  <c r="P669"/>
  <c r="S669" s="1"/>
  <c r="O669"/>
  <c r="H669"/>
  <c r="J669" s="1"/>
  <c r="G669"/>
  <c r="P668"/>
  <c r="S668" s="1"/>
  <c r="O668"/>
  <c r="G668"/>
  <c r="H668" s="1"/>
  <c r="J668" s="1"/>
  <c r="P667"/>
  <c r="S667" s="1"/>
  <c r="O667"/>
  <c r="H667"/>
  <c r="J667" s="1"/>
  <c r="G667"/>
  <c r="P666"/>
  <c r="S666" s="1"/>
  <c r="O666"/>
  <c r="G666"/>
  <c r="H666" s="1"/>
  <c r="J666" s="1"/>
  <c r="P665"/>
  <c r="S665" s="1"/>
  <c r="O665"/>
  <c r="H665"/>
  <c r="J665" s="1"/>
  <c r="P664"/>
  <c r="S664" s="1"/>
  <c r="O664"/>
  <c r="J664"/>
  <c r="P663"/>
  <c r="S663" s="1"/>
  <c r="O663"/>
  <c r="J663"/>
  <c r="P662"/>
  <c r="S662" s="1"/>
  <c r="O662"/>
  <c r="H662"/>
  <c r="J662" s="1"/>
  <c r="P661"/>
  <c r="S661" s="1"/>
  <c r="O661"/>
  <c r="H661"/>
  <c r="J661" s="1"/>
  <c r="P660"/>
  <c r="S660" s="1"/>
  <c r="M660"/>
  <c r="H660"/>
  <c r="P659"/>
  <c r="O659"/>
  <c r="K659"/>
  <c r="G659"/>
  <c r="H659" s="1"/>
  <c r="P658"/>
  <c r="O658"/>
  <c r="K658"/>
  <c r="H658"/>
  <c r="P657"/>
  <c r="O657"/>
  <c r="K657"/>
  <c r="H657"/>
  <c r="P656"/>
  <c r="O656"/>
  <c r="K656"/>
  <c r="H656"/>
  <c r="P655"/>
  <c r="R658" s="1"/>
  <c r="O655"/>
  <c r="P654"/>
  <c r="S654" s="1"/>
  <c r="M654"/>
  <c r="H654"/>
  <c r="P653"/>
  <c r="O653"/>
  <c r="K653"/>
  <c r="G653"/>
  <c r="H653" s="1"/>
  <c r="P652"/>
  <c r="O652"/>
  <c r="K652"/>
  <c r="H652"/>
  <c r="P651"/>
  <c r="O651"/>
  <c r="K651"/>
  <c r="H651"/>
  <c r="P650"/>
  <c r="O650"/>
  <c r="K650"/>
  <c r="H650"/>
  <c r="P649"/>
  <c r="O649"/>
  <c r="P648"/>
  <c r="S648" s="1"/>
  <c r="M648"/>
  <c r="H648"/>
  <c r="P647"/>
  <c r="O647"/>
  <c r="K647"/>
  <c r="G647"/>
  <c r="H647" s="1"/>
  <c r="P646"/>
  <c r="O646"/>
  <c r="K646"/>
  <c r="H646"/>
  <c r="P645"/>
  <c r="O645"/>
  <c r="K645"/>
  <c r="H645"/>
  <c r="P644"/>
  <c r="O644"/>
  <c r="K644"/>
  <c r="J644"/>
  <c r="H644"/>
  <c r="P643"/>
  <c r="R647" s="1"/>
  <c r="O643"/>
  <c r="P642"/>
  <c r="S642" s="1"/>
  <c r="M642"/>
  <c r="H642"/>
  <c r="P641"/>
  <c r="O641"/>
  <c r="K641"/>
  <c r="H641"/>
  <c r="P640"/>
  <c r="O640"/>
  <c r="K640"/>
  <c r="H640"/>
  <c r="P639"/>
  <c r="O639"/>
  <c r="K639"/>
  <c r="H639"/>
  <c r="P638"/>
  <c r="O638"/>
  <c r="K638"/>
  <c r="J638"/>
  <c r="H638"/>
  <c r="P637"/>
  <c r="O637"/>
  <c r="P636"/>
  <c r="S636" s="1"/>
  <c r="M636"/>
  <c r="H636"/>
  <c r="P635"/>
  <c r="O635"/>
  <c r="K635"/>
  <c r="G635"/>
  <c r="H635" s="1"/>
  <c r="P634"/>
  <c r="O634"/>
  <c r="K634"/>
  <c r="H634"/>
  <c r="P633"/>
  <c r="O633"/>
  <c r="K633"/>
  <c r="H633"/>
  <c r="P632"/>
  <c r="O632"/>
  <c r="K632"/>
  <c r="H632"/>
  <c r="P631"/>
  <c r="R634" s="1"/>
  <c r="O631"/>
  <c r="P630"/>
  <c r="S630" s="1"/>
  <c r="M630"/>
  <c r="H630"/>
  <c r="P629"/>
  <c r="O629"/>
  <c r="K629"/>
  <c r="G629"/>
  <c r="H629" s="1"/>
  <c r="P628"/>
  <c r="O628"/>
  <c r="K628"/>
  <c r="H628"/>
  <c r="P627"/>
  <c r="O627"/>
  <c r="K627"/>
  <c r="J627"/>
  <c r="H627"/>
  <c r="P626"/>
  <c r="O626"/>
  <c r="K626"/>
  <c r="H626"/>
  <c r="P625"/>
  <c r="R626" s="1"/>
  <c r="O625"/>
  <c r="P624"/>
  <c r="S624" s="1"/>
  <c r="M624"/>
  <c r="H624"/>
  <c r="P623"/>
  <c r="O623"/>
  <c r="K623"/>
  <c r="G623"/>
  <c r="H623" s="1"/>
  <c r="P622"/>
  <c r="O622"/>
  <c r="K622"/>
  <c r="H622"/>
  <c r="P621"/>
  <c r="O621"/>
  <c r="K621"/>
  <c r="J621"/>
  <c r="H621"/>
  <c r="P620"/>
  <c r="O620"/>
  <c r="K620"/>
  <c r="H620"/>
  <c r="P619"/>
  <c r="R621" s="1"/>
  <c r="O619"/>
  <c r="P618"/>
  <c r="M618"/>
  <c r="H618"/>
  <c r="P617"/>
  <c r="O617"/>
  <c r="K617"/>
  <c r="G617"/>
  <c r="H617" s="1"/>
  <c r="P616"/>
  <c r="O616"/>
  <c r="K616"/>
  <c r="H616"/>
  <c r="P615"/>
  <c r="O615"/>
  <c r="K615"/>
  <c r="J615"/>
  <c r="H615"/>
  <c r="P614"/>
  <c r="O614"/>
  <c r="K614"/>
  <c r="H614"/>
  <c r="P613"/>
  <c r="O613"/>
  <c r="P612"/>
  <c r="M612"/>
  <c r="H612"/>
  <c r="P611"/>
  <c r="O611"/>
  <c r="K611"/>
  <c r="G611"/>
  <c r="H611" s="1"/>
  <c r="P610"/>
  <c r="O610"/>
  <c r="K610"/>
  <c r="H610"/>
  <c r="P609"/>
  <c r="O609"/>
  <c r="K609"/>
  <c r="J609"/>
  <c r="H609"/>
  <c r="P608"/>
  <c r="O608"/>
  <c r="K608"/>
  <c r="H608"/>
  <c r="P607"/>
  <c r="R609" s="1"/>
  <c r="O607"/>
  <c r="P606"/>
  <c r="S606" s="1"/>
  <c r="M606"/>
  <c r="H606"/>
  <c r="P605"/>
  <c r="O605"/>
  <c r="K605"/>
  <c r="G605"/>
  <c r="H605" s="1"/>
  <c r="P604"/>
  <c r="O604"/>
  <c r="K604"/>
  <c r="H604"/>
  <c r="P603"/>
  <c r="O603"/>
  <c r="K603"/>
  <c r="J603"/>
  <c r="H603"/>
  <c r="P602"/>
  <c r="O602"/>
  <c r="K602"/>
  <c r="J602"/>
  <c r="H602"/>
  <c r="P601"/>
  <c r="R602" s="1"/>
  <c r="O601"/>
  <c r="P600"/>
  <c r="S600" s="1"/>
  <c r="M600"/>
  <c r="H600"/>
  <c r="P599"/>
  <c r="O599"/>
  <c r="K599"/>
  <c r="G599"/>
  <c r="H599" s="1"/>
  <c r="P598"/>
  <c r="O598"/>
  <c r="K598"/>
  <c r="H598"/>
  <c r="P597"/>
  <c r="O597"/>
  <c r="K597"/>
  <c r="J597"/>
  <c r="H597"/>
  <c r="P596"/>
  <c r="O596"/>
  <c r="K596"/>
  <c r="J596"/>
  <c r="H596"/>
  <c r="P595"/>
  <c r="R596" s="1"/>
  <c r="O595"/>
  <c r="P594"/>
  <c r="S594" s="1"/>
  <c r="M594"/>
  <c r="H594"/>
  <c r="P593"/>
  <c r="O593"/>
  <c r="K593"/>
  <c r="G593"/>
  <c r="H593" s="1"/>
  <c r="P592"/>
  <c r="O592"/>
  <c r="K592"/>
  <c r="H592"/>
  <c r="P591"/>
  <c r="O591"/>
  <c r="K591"/>
  <c r="J591"/>
  <c r="H591"/>
  <c r="P590"/>
  <c r="O590"/>
  <c r="K590"/>
  <c r="J590"/>
  <c r="H590"/>
  <c r="P589"/>
  <c r="R590" s="1"/>
  <c r="O589"/>
  <c r="P588"/>
  <c r="S588" s="1"/>
  <c r="M588"/>
  <c r="H588"/>
  <c r="P587"/>
  <c r="O587"/>
  <c r="K587"/>
  <c r="H587"/>
  <c r="H586" s="1"/>
  <c r="J586" s="1"/>
  <c r="P586"/>
  <c r="S586" s="1"/>
  <c r="O586"/>
  <c r="P585"/>
  <c r="S585" s="1"/>
  <c r="M585"/>
  <c r="H585"/>
  <c r="P584"/>
  <c r="S584" s="1"/>
  <c r="O584"/>
  <c r="J584"/>
  <c r="P583"/>
  <c r="S583" s="1"/>
  <c r="M583"/>
  <c r="H583"/>
  <c r="P582"/>
  <c r="S582" s="1"/>
  <c r="O582"/>
  <c r="J582"/>
  <c r="P581"/>
  <c r="S581" s="1"/>
  <c r="M581"/>
  <c r="H581"/>
  <c r="P580"/>
  <c r="S580" s="1"/>
  <c r="O580"/>
  <c r="J580"/>
  <c r="P579"/>
  <c r="S579" s="1"/>
  <c r="M579"/>
  <c r="H579"/>
  <c r="P578"/>
  <c r="S578" s="1"/>
  <c r="O578"/>
  <c r="J578"/>
  <c r="P577"/>
  <c r="S577" s="1"/>
  <c r="O577"/>
  <c r="H577"/>
  <c r="J577" s="1"/>
  <c r="P576"/>
  <c r="S576" s="1"/>
  <c r="O576"/>
  <c r="H576"/>
  <c r="J576" s="1"/>
  <c r="P575"/>
  <c r="S575" s="1"/>
  <c r="O575"/>
  <c r="H575"/>
  <c r="J575" s="1"/>
  <c r="P574"/>
  <c r="S574" s="1"/>
  <c r="O574"/>
  <c r="H574"/>
  <c r="J574" s="1"/>
  <c r="P573"/>
  <c r="S573" s="1"/>
  <c r="O573"/>
  <c r="H573"/>
  <c r="J573" s="1"/>
  <c r="P572"/>
  <c r="S572" s="1"/>
  <c r="O572"/>
  <c r="H572"/>
  <c r="J572" s="1"/>
  <c r="P571"/>
  <c r="S571" s="1"/>
  <c r="O571"/>
  <c r="H571"/>
  <c r="J571" s="1"/>
  <c r="P570"/>
  <c r="S570" s="1"/>
  <c r="O570"/>
  <c r="H570"/>
  <c r="J570" s="1"/>
  <c r="P569"/>
  <c r="S569" s="1"/>
  <c r="O569"/>
  <c r="H569"/>
  <c r="J569" s="1"/>
  <c r="G569"/>
  <c r="P568"/>
  <c r="S568" s="1"/>
  <c r="O568"/>
  <c r="G568"/>
  <c r="H568" s="1"/>
  <c r="J568" s="1"/>
  <c r="P567"/>
  <c r="S567" s="1"/>
  <c r="O567"/>
  <c r="J567"/>
  <c r="P566"/>
  <c r="S566" s="1"/>
  <c r="O566"/>
  <c r="J566"/>
  <c r="P565"/>
  <c r="O565"/>
  <c r="H565"/>
  <c r="G565"/>
  <c r="P564"/>
  <c r="O564"/>
  <c r="G564"/>
  <c r="H564" s="1"/>
  <c r="P563"/>
  <c r="O563"/>
  <c r="H563"/>
  <c r="G563"/>
  <c r="P562"/>
  <c r="S562" s="1"/>
  <c r="O562"/>
  <c r="P561"/>
  <c r="O561"/>
  <c r="K561"/>
  <c r="J561"/>
  <c r="H561"/>
  <c r="G561"/>
  <c r="P560"/>
  <c r="O560"/>
  <c r="K560"/>
  <c r="J560"/>
  <c r="H560"/>
  <c r="G560"/>
  <c r="P559"/>
  <c r="O559"/>
  <c r="K559"/>
  <c r="J559"/>
  <c r="H559"/>
  <c r="G559"/>
  <c r="P558"/>
  <c r="R561" s="1"/>
  <c r="O558"/>
  <c r="P557"/>
  <c r="O557"/>
  <c r="K557"/>
  <c r="J557"/>
  <c r="H557"/>
  <c r="G557"/>
  <c r="P556"/>
  <c r="O556"/>
  <c r="K556"/>
  <c r="J556"/>
  <c r="H556"/>
  <c r="G556"/>
  <c r="P555"/>
  <c r="O555"/>
  <c r="K555"/>
  <c r="J555"/>
  <c r="G555"/>
  <c r="H555" s="1"/>
  <c r="P554"/>
  <c r="R557" s="1"/>
  <c r="O554"/>
  <c r="P553"/>
  <c r="O553"/>
  <c r="K553"/>
  <c r="J553"/>
  <c r="H553"/>
  <c r="G553"/>
  <c r="P552"/>
  <c r="O552"/>
  <c r="K552"/>
  <c r="J552"/>
  <c r="H552"/>
  <c r="G552"/>
  <c r="P551"/>
  <c r="O551"/>
  <c r="K551"/>
  <c r="J551"/>
  <c r="H551"/>
  <c r="G551"/>
  <c r="P550"/>
  <c r="S550" s="1"/>
  <c r="O550"/>
  <c r="P549"/>
  <c r="S549" s="1"/>
  <c r="O549"/>
  <c r="H549"/>
  <c r="J549" s="1"/>
  <c r="P548"/>
  <c r="S548" s="1"/>
  <c r="O548"/>
  <c r="H548"/>
  <c r="J548" s="1"/>
  <c r="P547"/>
  <c r="S547" s="1"/>
  <c r="O547"/>
  <c r="H547"/>
  <c r="J547" s="1"/>
  <c r="P546"/>
  <c r="S546" s="1"/>
  <c r="O546"/>
  <c r="H546"/>
  <c r="J546" s="1"/>
  <c r="P545"/>
  <c r="S545" s="1"/>
  <c r="O545"/>
  <c r="H545"/>
  <c r="J545" s="1"/>
  <c r="P544"/>
  <c r="S544" s="1"/>
  <c r="O544"/>
  <c r="H544"/>
  <c r="J544" s="1"/>
  <c r="G544"/>
  <c r="P543"/>
  <c r="S543" s="1"/>
  <c r="O543"/>
  <c r="H543"/>
  <c r="J543" s="1"/>
  <c r="P542"/>
  <c r="S542" s="1"/>
  <c r="O542"/>
  <c r="H542"/>
  <c r="J542" s="1"/>
  <c r="P541"/>
  <c r="O541"/>
  <c r="P540"/>
  <c r="O540"/>
  <c r="P539"/>
  <c r="O539"/>
  <c r="P538"/>
  <c r="P537"/>
  <c r="S537" s="1"/>
  <c r="O537"/>
  <c r="H537"/>
  <c r="J537" s="1"/>
  <c r="P536"/>
  <c r="S536" s="1"/>
  <c r="O536"/>
  <c r="H536"/>
  <c r="J536" s="1"/>
  <c r="P535"/>
  <c r="S535" s="1"/>
  <c r="O535"/>
  <c r="J535"/>
  <c r="P534"/>
  <c r="S534" s="1"/>
  <c r="J534"/>
  <c r="P533"/>
  <c r="S533" s="1"/>
  <c r="O533"/>
  <c r="J533"/>
  <c r="P532"/>
  <c r="S532" s="1"/>
  <c r="O532"/>
  <c r="G532"/>
  <c r="H532" s="1"/>
  <c r="J532" s="1"/>
  <c r="P531"/>
  <c r="S531" s="1"/>
  <c r="O531"/>
  <c r="H531"/>
  <c r="J531" s="1"/>
  <c r="G531"/>
  <c r="P530"/>
  <c r="S530" s="1"/>
  <c r="O530"/>
  <c r="G530"/>
  <c r="H530" s="1"/>
  <c r="J530" s="1"/>
  <c r="P529"/>
  <c r="O529"/>
  <c r="H529"/>
  <c r="J529" s="1"/>
  <c r="G529"/>
  <c r="P527"/>
  <c r="S527" s="1"/>
  <c r="O527"/>
  <c r="P526"/>
  <c r="S526" s="1"/>
  <c r="O526"/>
  <c r="K526"/>
  <c r="P525"/>
  <c r="S525" s="1"/>
  <c r="O525"/>
  <c r="K525"/>
  <c r="P524"/>
  <c r="S524" s="1"/>
  <c r="O524"/>
  <c r="K524"/>
  <c r="P523"/>
  <c r="S523" s="1"/>
  <c r="O523"/>
  <c r="K523"/>
  <c r="P522"/>
  <c r="S522" s="1"/>
  <c r="O522"/>
  <c r="K522"/>
  <c r="P521"/>
  <c r="S521" s="1"/>
  <c r="O521"/>
  <c r="K521"/>
  <c r="P520"/>
  <c r="S520" s="1"/>
  <c r="O520"/>
  <c r="K520"/>
  <c r="P519"/>
  <c r="S519" s="1"/>
  <c r="O519"/>
  <c r="K519"/>
  <c r="P518"/>
  <c r="S518" s="1"/>
  <c r="O518"/>
  <c r="K518"/>
  <c r="P517"/>
  <c r="S517" s="1"/>
  <c r="O517"/>
  <c r="K517"/>
  <c r="P516"/>
  <c r="S516" s="1"/>
  <c r="O516"/>
  <c r="K516"/>
  <c r="P515"/>
  <c r="S515" s="1"/>
  <c r="O515"/>
  <c r="K515"/>
  <c r="P514"/>
  <c r="S514" s="1"/>
  <c r="O514"/>
  <c r="K514"/>
  <c r="P513"/>
  <c r="S513" s="1"/>
  <c r="O513"/>
  <c r="K513"/>
  <c r="P512"/>
  <c r="S512" s="1"/>
  <c r="O512"/>
  <c r="K512"/>
  <c r="P511"/>
  <c r="S511" s="1"/>
  <c r="O511"/>
  <c r="K511"/>
  <c r="P510"/>
  <c r="S510" s="1"/>
  <c r="O510"/>
  <c r="K510"/>
  <c r="P509"/>
  <c r="S509" s="1"/>
  <c r="O509"/>
  <c r="K509"/>
  <c r="P508"/>
  <c r="S508" s="1"/>
  <c r="O508"/>
  <c r="K508"/>
  <c r="P507"/>
  <c r="S507" s="1"/>
  <c r="O507"/>
  <c r="K507"/>
  <c r="P506"/>
  <c r="S506" s="1"/>
  <c r="O506"/>
  <c r="K506"/>
  <c r="P505"/>
  <c r="S505" s="1"/>
  <c r="O505"/>
  <c r="K505"/>
  <c r="P504"/>
  <c r="S504" s="1"/>
  <c r="O504"/>
  <c r="K504"/>
  <c r="P503"/>
  <c r="O503"/>
  <c r="K503"/>
  <c r="P501"/>
  <c r="S501" s="1"/>
  <c r="O501"/>
  <c r="H501"/>
  <c r="J501" s="1"/>
  <c r="P500"/>
  <c r="O500"/>
  <c r="H500"/>
  <c r="P499"/>
  <c r="O499"/>
  <c r="H499"/>
  <c r="P498"/>
  <c r="O498"/>
  <c r="H498"/>
  <c r="P497"/>
  <c r="R499" s="1"/>
  <c r="O497"/>
  <c r="P496"/>
  <c r="S496" s="1"/>
  <c r="O496"/>
  <c r="H496"/>
  <c r="J496" s="1"/>
  <c r="P495"/>
  <c r="O495"/>
  <c r="H495"/>
  <c r="P494"/>
  <c r="O494"/>
  <c r="H494"/>
  <c r="P493"/>
  <c r="O493"/>
  <c r="H493"/>
  <c r="P492"/>
  <c r="R494" s="1"/>
  <c r="P491"/>
  <c r="S491" s="1"/>
  <c r="O491"/>
  <c r="H491"/>
  <c r="J491" s="1"/>
  <c r="P490"/>
  <c r="O490"/>
  <c r="H490"/>
  <c r="P489"/>
  <c r="O489"/>
  <c r="H489"/>
  <c r="P488"/>
  <c r="O488"/>
  <c r="H488"/>
  <c r="P487"/>
  <c r="R489" s="1"/>
  <c r="O487"/>
  <c r="P486"/>
  <c r="S486" s="1"/>
  <c r="O486"/>
  <c r="H486"/>
  <c r="J486" s="1"/>
  <c r="P485"/>
  <c r="O485"/>
  <c r="H485"/>
  <c r="P484"/>
  <c r="O484"/>
  <c r="H484"/>
  <c r="P483"/>
  <c r="O483"/>
  <c r="H483"/>
  <c r="P482"/>
  <c r="R484" s="1"/>
  <c r="P481"/>
  <c r="S481" s="1"/>
  <c r="O481"/>
  <c r="H481"/>
  <c r="J481" s="1"/>
  <c r="G481"/>
  <c r="P480"/>
  <c r="O480"/>
  <c r="H480"/>
  <c r="P479"/>
  <c r="O479"/>
  <c r="H479"/>
  <c r="P478"/>
  <c r="O478"/>
  <c r="H478"/>
  <c r="P477"/>
  <c r="R480" s="1"/>
  <c r="O477"/>
  <c r="P476"/>
  <c r="S476" s="1"/>
  <c r="O476"/>
  <c r="H476"/>
  <c r="J476" s="1"/>
  <c r="P475"/>
  <c r="S475" s="1"/>
  <c r="O475"/>
  <c r="J475"/>
  <c r="P474"/>
  <c r="S474" s="1"/>
  <c r="O474"/>
  <c r="J474"/>
  <c r="P472"/>
  <c r="S472" s="1"/>
  <c r="O472"/>
  <c r="K472"/>
  <c r="P471"/>
  <c r="S471" s="1"/>
  <c r="O471"/>
  <c r="K471"/>
  <c r="P470"/>
  <c r="S470" s="1"/>
  <c r="O470"/>
  <c r="K470"/>
  <c r="P469"/>
  <c r="S469" s="1"/>
  <c r="O469"/>
  <c r="K469"/>
  <c r="P468"/>
  <c r="S468" s="1"/>
  <c r="O468"/>
  <c r="K468"/>
  <c r="P467"/>
  <c r="S467" s="1"/>
  <c r="O467"/>
  <c r="K467"/>
  <c r="P466"/>
  <c r="S466" s="1"/>
  <c r="O466"/>
  <c r="K466"/>
  <c r="P465"/>
  <c r="S465" s="1"/>
  <c r="O465"/>
  <c r="K465"/>
  <c r="P464"/>
  <c r="S464" s="1"/>
  <c r="O464"/>
  <c r="K464"/>
  <c r="P463"/>
  <c r="S463" s="1"/>
  <c r="O463"/>
  <c r="K463"/>
  <c r="P462"/>
  <c r="S462" s="1"/>
  <c r="O462"/>
  <c r="K462"/>
  <c r="P461"/>
  <c r="S461" s="1"/>
  <c r="O461"/>
  <c r="K461"/>
  <c r="P460"/>
  <c r="S460" s="1"/>
  <c r="O460"/>
  <c r="K460"/>
  <c r="P459"/>
  <c r="S459" s="1"/>
  <c r="O459"/>
  <c r="K459"/>
  <c r="P458"/>
  <c r="S458" s="1"/>
  <c r="O458"/>
  <c r="K458"/>
  <c r="P457"/>
  <c r="S457" s="1"/>
  <c r="O457"/>
  <c r="K457"/>
  <c r="P456"/>
  <c r="S456" s="1"/>
  <c r="O456"/>
  <c r="K456"/>
  <c r="P455"/>
  <c r="S455" s="1"/>
  <c r="O455"/>
  <c r="K455"/>
  <c r="P454"/>
  <c r="S454" s="1"/>
  <c r="O454"/>
  <c r="K454"/>
  <c r="P453"/>
  <c r="S453" s="1"/>
  <c r="O453"/>
  <c r="K453"/>
  <c r="P452"/>
  <c r="S452" s="1"/>
  <c r="O452"/>
  <c r="K452"/>
  <c r="P451"/>
  <c r="S451" s="1"/>
  <c r="O451"/>
  <c r="K451"/>
  <c r="P450"/>
  <c r="S450" s="1"/>
  <c r="O450"/>
  <c r="K450"/>
  <c r="P449"/>
  <c r="S449" s="1"/>
  <c r="O449"/>
  <c r="K449"/>
  <c r="P448"/>
  <c r="S448" s="1"/>
  <c r="P446"/>
  <c r="S446" s="1"/>
  <c r="O446"/>
  <c r="H446"/>
  <c r="J446" s="1"/>
  <c r="P445"/>
  <c r="S445" s="1"/>
  <c r="O445"/>
  <c r="H445"/>
  <c r="J445" s="1"/>
  <c r="P444"/>
  <c r="M444"/>
  <c r="H444"/>
  <c r="P443"/>
  <c r="O443"/>
  <c r="K443"/>
  <c r="G443"/>
  <c r="H443" s="1"/>
  <c r="P442"/>
  <c r="O442"/>
  <c r="K442"/>
  <c r="H442"/>
  <c r="P441"/>
  <c r="O441"/>
  <c r="K441"/>
  <c r="H441"/>
  <c r="P440"/>
  <c r="O440"/>
  <c r="K440"/>
  <c r="H440"/>
  <c r="P439"/>
  <c r="R442" s="1"/>
  <c r="O439"/>
  <c r="P438"/>
  <c r="M438"/>
  <c r="H438"/>
  <c r="P437"/>
  <c r="O437"/>
  <c r="K437"/>
  <c r="G437"/>
  <c r="H437" s="1"/>
  <c r="P436"/>
  <c r="O436"/>
  <c r="K436"/>
  <c r="H436"/>
  <c r="P435"/>
  <c r="O435"/>
  <c r="K435"/>
  <c r="H435"/>
  <c r="P434"/>
  <c r="O434"/>
  <c r="K434"/>
  <c r="H434"/>
  <c r="P433"/>
  <c r="R435" s="1"/>
  <c r="O433"/>
  <c r="P432"/>
  <c r="M432"/>
  <c r="H432"/>
  <c r="P431"/>
  <c r="O431"/>
  <c r="K431"/>
  <c r="G431"/>
  <c r="H431" s="1"/>
  <c r="P430"/>
  <c r="O430"/>
  <c r="K430"/>
  <c r="H430"/>
  <c r="P429"/>
  <c r="R618" s="1"/>
  <c r="O429"/>
  <c r="K429"/>
  <c r="H429"/>
  <c r="P428"/>
  <c r="O428"/>
  <c r="K428"/>
  <c r="H428"/>
  <c r="P427"/>
  <c r="O427"/>
  <c r="P426"/>
  <c r="M426"/>
  <c r="H426"/>
  <c r="P425"/>
  <c r="O425"/>
  <c r="K425"/>
  <c r="G425"/>
  <c r="H425" s="1"/>
  <c r="P424"/>
  <c r="O424"/>
  <c r="K424"/>
  <c r="H424"/>
  <c r="P423"/>
  <c r="R612" s="1"/>
  <c r="O423"/>
  <c r="K423"/>
  <c r="H423"/>
  <c r="P422"/>
  <c r="O422"/>
  <c r="K422"/>
  <c r="H422"/>
  <c r="P421"/>
  <c r="R425" s="1"/>
  <c r="S425" s="1"/>
  <c r="O421"/>
  <c r="P420"/>
  <c r="M420"/>
  <c r="H420"/>
  <c r="P419"/>
  <c r="O419"/>
  <c r="K419"/>
  <c r="G419"/>
  <c r="H419" s="1"/>
  <c r="P418"/>
  <c r="O418"/>
  <c r="K418"/>
  <c r="H418"/>
  <c r="P417"/>
  <c r="O417"/>
  <c r="K417"/>
  <c r="H417"/>
  <c r="P416"/>
  <c r="O416"/>
  <c r="K416"/>
  <c r="H416"/>
  <c r="P415"/>
  <c r="R419" s="1"/>
  <c r="O415"/>
  <c r="P414"/>
  <c r="M414"/>
  <c r="H414"/>
  <c r="P413"/>
  <c r="O413"/>
  <c r="K413"/>
  <c r="G413"/>
  <c r="H413" s="1"/>
  <c r="P412"/>
  <c r="O412"/>
  <c r="K412"/>
  <c r="H412"/>
  <c r="P411"/>
  <c r="O411"/>
  <c r="K411"/>
  <c r="H411"/>
  <c r="P410"/>
  <c r="O410"/>
  <c r="K410"/>
  <c r="H410"/>
  <c r="P409"/>
  <c r="R412" s="1"/>
  <c r="O409"/>
  <c r="M408"/>
  <c r="P408" s="1"/>
  <c r="H408"/>
  <c r="P407"/>
  <c r="O407"/>
  <c r="K407"/>
  <c r="G407"/>
  <c r="H407" s="1"/>
  <c r="P406"/>
  <c r="O406"/>
  <c r="K406"/>
  <c r="H406"/>
  <c r="P405"/>
  <c r="O405"/>
  <c r="K405"/>
  <c r="H405"/>
  <c r="P404"/>
  <c r="O404"/>
  <c r="K404"/>
  <c r="H404"/>
  <c r="P403"/>
  <c r="R407" s="1"/>
  <c r="S407" s="1"/>
  <c r="P402"/>
  <c r="M402"/>
  <c r="H402"/>
  <c r="P401"/>
  <c r="O401"/>
  <c r="K401"/>
  <c r="G401"/>
  <c r="H401" s="1"/>
  <c r="P400"/>
  <c r="O400"/>
  <c r="K400"/>
  <c r="H400"/>
  <c r="P399"/>
  <c r="O399"/>
  <c r="K399"/>
  <c r="H399"/>
  <c r="P398"/>
  <c r="O398"/>
  <c r="K398"/>
  <c r="H398"/>
  <c r="P397"/>
  <c r="R399" s="1"/>
  <c r="O397"/>
  <c r="M396"/>
  <c r="P396" s="1"/>
  <c r="P395"/>
  <c r="O395"/>
  <c r="K395"/>
  <c r="G395"/>
  <c r="P394"/>
  <c r="O394"/>
  <c r="K394"/>
  <c r="P393"/>
  <c r="O393"/>
  <c r="K393"/>
  <c r="P392"/>
  <c r="O392"/>
  <c r="K392"/>
  <c r="P391"/>
  <c r="R394" s="1"/>
  <c r="P390"/>
  <c r="M390"/>
  <c r="H390"/>
  <c r="P389"/>
  <c r="O389"/>
  <c r="K389"/>
  <c r="G389"/>
  <c r="H389" s="1"/>
  <c r="P388"/>
  <c r="O388"/>
  <c r="K388"/>
  <c r="H388"/>
  <c r="P387"/>
  <c r="O387"/>
  <c r="K387"/>
  <c r="H387"/>
  <c r="P386"/>
  <c r="O386"/>
  <c r="K386"/>
  <c r="H386"/>
  <c r="P385"/>
  <c r="R386" s="1"/>
  <c r="O385"/>
  <c r="P384"/>
  <c r="M384"/>
  <c r="H384"/>
  <c r="P383"/>
  <c r="O383"/>
  <c r="K383"/>
  <c r="G383"/>
  <c r="H383" s="1"/>
  <c r="P382"/>
  <c r="O382"/>
  <c r="K382"/>
  <c r="H382"/>
  <c r="P381"/>
  <c r="O381"/>
  <c r="K381"/>
  <c r="J381"/>
  <c r="H381"/>
  <c r="P380"/>
  <c r="O380"/>
  <c r="K380"/>
  <c r="H380"/>
  <c r="P379"/>
  <c r="S379" s="1"/>
  <c r="O379"/>
  <c r="P378"/>
  <c r="M378"/>
  <c r="H378"/>
  <c r="P377"/>
  <c r="O377"/>
  <c r="K377"/>
  <c r="G377"/>
  <c r="H377" s="1"/>
  <c r="P376"/>
  <c r="O376"/>
  <c r="K376"/>
  <c r="H376"/>
  <c r="P375"/>
  <c r="O375"/>
  <c r="K375"/>
  <c r="J375"/>
  <c r="H375"/>
  <c r="P374"/>
  <c r="O374"/>
  <c r="K374"/>
  <c r="H374"/>
  <c r="P373"/>
  <c r="S373" s="1"/>
  <c r="O373"/>
  <c r="P372"/>
  <c r="M372"/>
  <c r="H372"/>
  <c r="P371"/>
  <c r="O371"/>
  <c r="K371"/>
  <c r="G371"/>
  <c r="H371" s="1"/>
  <c r="P370"/>
  <c r="O370"/>
  <c r="K370"/>
  <c r="H370"/>
  <c r="P369"/>
  <c r="O369"/>
  <c r="K369"/>
  <c r="H369"/>
  <c r="P368"/>
  <c r="O368"/>
  <c r="K368"/>
  <c r="H368"/>
  <c r="P367"/>
  <c r="R368" s="1"/>
  <c r="O367"/>
  <c r="P366"/>
  <c r="M366"/>
  <c r="H366"/>
  <c r="P365"/>
  <c r="O365"/>
  <c r="K365"/>
  <c r="G365"/>
  <c r="H365" s="1"/>
  <c r="P364"/>
  <c r="O364"/>
  <c r="K364"/>
  <c r="H364"/>
  <c r="P363"/>
  <c r="O363"/>
  <c r="K363"/>
  <c r="H363"/>
  <c r="P362"/>
  <c r="O362"/>
  <c r="K362"/>
  <c r="H362"/>
  <c r="P361"/>
  <c r="R365" s="1"/>
  <c r="O361"/>
  <c r="P360"/>
  <c r="M360"/>
  <c r="H360"/>
  <c r="P359"/>
  <c r="O359"/>
  <c r="K359"/>
  <c r="G359"/>
  <c r="H359" s="1"/>
  <c r="P358"/>
  <c r="O358"/>
  <c r="K358"/>
  <c r="H358"/>
  <c r="P357"/>
  <c r="O357"/>
  <c r="K357"/>
  <c r="H357"/>
  <c r="P356"/>
  <c r="O356"/>
  <c r="K356"/>
  <c r="J356"/>
  <c r="H356"/>
  <c r="P355"/>
  <c r="R359" s="1"/>
  <c r="O355"/>
  <c r="P354"/>
  <c r="M354"/>
  <c r="H354"/>
  <c r="P353"/>
  <c r="O353"/>
  <c r="K353"/>
  <c r="H353"/>
  <c r="P352"/>
  <c r="O352"/>
  <c r="K352"/>
  <c r="H352"/>
  <c r="P351"/>
  <c r="O351"/>
  <c r="K351"/>
  <c r="H351"/>
  <c r="P350"/>
  <c r="O350"/>
  <c r="K350"/>
  <c r="J350"/>
  <c r="H350"/>
  <c r="P349"/>
  <c r="R353" s="1"/>
  <c r="O349"/>
  <c r="P348"/>
  <c r="M348"/>
  <c r="H348"/>
  <c r="P347"/>
  <c r="O347"/>
  <c r="K347"/>
  <c r="G347"/>
  <c r="H347" s="1"/>
  <c r="P346"/>
  <c r="O346"/>
  <c r="K346"/>
  <c r="H346"/>
  <c r="P345"/>
  <c r="O345"/>
  <c r="K345"/>
  <c r="H345"/>
  <c r="P344"/>
  <c r="O344"/>
  <c r="K344"/>
  <c r="H344"/>
  <c r="P343"/>
  <c r="R347" s="1"/>
  <c r="O343"/>
  <c r="P342"/>
  <c r="M342"/>
  <c r="H342"/>
  <c r="P341"/>
  <c r="O341"/>
  <c r="K341"/>
  <c r="G341"/>
  <c r="H341" s="1"/>
  <c r="P340"/>
  <c r="O340"/>
  <c r="K340"/>
  <c r="H340"/>
  <c r="P339"/>
  <c r="O339"/>
  <c r="K339"/>
  <c r="J339"/>
  <c r="H339"/>
  <c r="P338"/>
  <c r="O338"/>
  <c r="K338"/>
  <c r="H338"/>
  <c r="P337"/>
  <c r="R340" s="1"/>
  <c r="O337"/>
  <c r="P336"/>
  <c r="M336"/>
  <c r="H336"/>
  <c r="P335"/>
  <c r="O335"/>
  <c r="K335"/>
  <c r="G335"/>
  <c r="H335" s="1"/>
  <c r="P334"/>
  <c r="O334"/>
  <c r="K334"/>
  <c r="H334"/>
  <c r="P333"/>
  <c r="O333"/>
  <c r="K333"/>
  <c r="J333"/>
  <c r="H333"/>
  <c r="P332"/>
  <c r="O332"/>
  <c r="K332"/>
  <c r="H332"/>
  <c r="P331"/>
  <c r="R332" s="1"/>
  <c r="O331"/>
  <c r="P330"/>
  <c r="M330"/>
  <c r="H330"/>
  <c r="P329"/>
  <c r="O329"/>
  <c r="K329"/>
  <c r="G329"/>
  <c r="H329" s="1"/>
  <c r="P328"/>
  <c r="O328"/>
  <c r="K328"/>
  <c r="H328"/>
  <c r="P327"/>
  <c r="O327"/>
  <c r="K327"/>
  <c r="J327"/>
  <c r="H327"/>
  <c r="P326"/>
  <c r="O326"/>
  <c r="K326"/>
  <c r="H326"/>
  <c r="P325"/>
  <c r="R326" s="1"/>
  <c r="O325"/>
  <c r="P324"/>
  <c r="M324"/>
  <c r="H324"/>
  <c r="P323"/>
  <c r="O323"/>
  <c r="K323"/>
  <c r="G323"/>
  <c r="H323" s="1"/>
  <c r="P322"/>
  <c r="O322"/>
  <c r="K322"/>
  <c r="H322"/>
  <c r="P321"/>
  <c r="O321"/>
  <c r="K321"/>
  <c r="J321"/>
  <c r="H321"/>
  <c r="P320"/>
  <c r="O320"/>
  <c r="K320"/>
  <c r="H320"/>
  <c r="P319"/>
  <c r="O319"/>
  <c r="P318"/>
  <c r="M318"/>
  <c r="H318"/>
  <c r="P317"/>
  <c r="O317"/>
  <c r="K317"/>
  <c r="G317"/>
  <c r="H317" s="1"/>
  <c r="P316"/>
  <c r="O316"/>
  <c r="K316"/>
  <c r="H316"/>
  <c r="P315"/>
  <c r="O315"/>
  <c r="K315"/>
  <c r="J315"/>
  <c r="H315"/>
  <c r="P314"/>
  <c r="O314"/>
  <c r="K314"/>
  <c r="J314"/>
  <c r="H314"/>
  <c r="P313"/>
  <c r="O313"/>
  <c r="P312"/>
  <c r="M312"/>
  <c r="H312"/>
  <c r="P311"/>
  <c r="O311"/>
  <c r="K311"/>
  <c r="G311"/>
  <c r="H311" s="1"/>
  <c r="P310"/>
  <c r="O310"/>
  <c r="K310"/>
  <c r="H310"/>
  <c r="P309"/>
  <c r="O309"/>
  <c r="K309"/>
  <c r="J309"/>
  <c r="H309"/>
  <c r="P308"/>
  <c r="O308"/>
  <c r="K308"/>
  <c r="J308"/>
  <c r="H308"/>
  <c r="P307"/>
  <c r="O307"/>
  <c r="P306"/>
  <c r="M306"/>
  <c r="H306"/>
  <c r="P305"/>
  <c r="O305"/>
  <c r="K305"/>
  <c r="G305"/>
  <c r="H305" s="1"/>
  <c r="P304"/>
  <c r="O304"/>
  <c r="K304"/>
  <c r="H304"/>
  <c r="P303"/>
  <c r="O303"/>
  <c r="K303"/>
  <c r="J303"/>
  <c r="H303"/>
  <c r="P302"/>
  <c r="O302"/>
  <c r="K302"/>
  <c r="J302"/>
  <c r="H302"/>
  <c r="P301"/>
  <c r="R303" s="1"/>
  <c r="O301"/>
  <c r="P300"/>
  <c r="M300"/>
  <c r="H300"/>
  <c r="P299"/>
  <c r="O299"/>
  <c r="K299"/>
  <c r="H299"/>
  <c r="H298" s="1"/>
  <c r="J298" s="1"/>
  <c r="P298"/>
  <c r="R299" s="1"/>
  <c r="O298"/>
  <c r="P297"/>
  <c r="M297"/>
  <c r="H297"/>
  <c r="P296"/>
  <c r="O296"/>
  <c r="K296"/>
  <c r="H296"/>
  <c r="H295" s="1"/>
  <c r="J295" s="1"/>
  <c r="P295"/>
  <c r="S295" s="1"/>
  <c r="O295"/>
  <c r="P294"/>
  <c r="M294"/>
  <c r="H294"/>
  <c r="P293"/>
  <c r="O293"/>
  <c r="K293"/>
  <c r="H293"/>
  <c r="H292" s="1"/>
  <c r="J292" s="1"/>
  <c r="P292"/>
  <c r="R293" s="1"/>
  <c r="O292"/>
  <c r="P291"/>
  <c r="M291"/>
  <c r="H291"/>
  <c r="P290"/>
  <c r="O290"/>
  <c r="K290"/>
  <c r="H290"/>
  <c r="H289" s="1"/>
  <c r="J289" s="1"/>
  <c r="P289"/>
  <c r="R290" s="1"/>
  <c r="O289"/>
  <c r="P288"/>
  <c r="M288"/>
  <c r="H288"/>
  <c r="P287"/>
  <c r="O287"/>
  <c r="K287"/>
  <c r="H287"/>
  <c r="H286" s="1"/>
  <c r="J286" s="1"/>
  <c r="P286"/>
  <c r="R287" s="1"/>
  <c r="O286"/>
  <c r="P285"/>
  <c r="M285"/>
  <c r="H285"/>
  <c r="P284"/>
  <c r="O284"/>
  <c r="K284"/>
  <c r="H284"/>
  <c r="H283" s="1"/>
  <c r="J283" s="1"/>
  <c r="P283"/>
  <c r="R284" s="1"/>
  <c r="O283"/>
  <c r="P282"/>
  <c r="M282"/>
  <c r="H282"/>
  <c r="P281"/>
  <c r="O281"/>
  <c r="K281"/>
  <c r="H281"/>
  <c r="H280" s="1"/>
  <c r="J280" s="1"/>
  <c r="P280"/>
  <c r="O280"/>
  <c r="P279"/>
  <c r="M279"/>
  <c r="H279"/>
  <c r="P278"/>
  <c r="O278"/>
  <c r="K278"/>
  <c r="H278"/>
  <c r="H277" s="1"/>
  <c r="J277" s="1"/>
  <c r="P277"/>
  <c r="R278" s="1"/>
  <c r="O277"/>
  <c r="P276"/>
  <c r="M276"/>
  <c r="H276"/>
  <c r="P275"/>
  <c r="O275"/>
  <c r="K275"/>
  <c r="H275"/>
  <c r="H274" s="1"/>
  <c r="J274" s="1"/>
  <c r="P274"/>
  <c r="R275" s="1"/>
  <c r="O274"/>
  <c r="P273"/>
  <c r="M273"/>
  <c r="H273"/>
  <c r="P272"/>
  <c r="O272"/>
  <c r="K272"/>
  <c r="H272"/>
  <c r="H271" s="1"/>
  <c r="J271" s="1"/>
  <c r="P271"/>
  <c r="R272" s="1"/>
  <c r="O271"/>
  <c r="P270"/>
  <c r="M270"/>
  <c r="H270"/>
  <c r="P269"/>
  <c r="O269"/>
  <c r="K269"/>
  <c r="H269"/>
  <c r="P268"/>
  <c r="O268"/>
  <c r="K268"/>
  <c r="H268"/>
  <c r="P267"/>
  <c r="O267"/>
  <c r="K267"/>
  <c r="H267"/>
  <c r="P266"/>
  <c r="O266"/>
  <c r="P265"/>
  <c r="M265"/>
  <c r="H265"/>
  <c r="P264"/>
  <c r="O264"/>
  <c r="K264"/>
  <c r="H264"/>
  <c r="P263"/>
  <c r="O263"/>
  <c r="K263"/>
  <c r="H263"/>
  <c r="P262"/>
  <c r="O262"/>
  <c r="K262"/>
  <c r="H262"/>
  <c r="P261"/>
  <c r="R262" s="1"/>
  <c r="O261"/>
  <c r="P260"/>
  <c r="M260"/>
  <c r="H260"/>
  <c r="P259"/>
  <c r="O259"/>
  <c r="K259"/>
  <c r="H259"/>
  <c r="P258"/>
  <c r="R444" s="1"/>
  <c r="S444" s="1"/>
  <c r="O258"/>
  <c r="K258"/>
  <c r="H258"/>
  <c r="P257"/>
  <c r="O257"/>
  <c r="K257"/>
  <c r="H257"/>
  <c r="H256" s="1"/>
  <c r="J256" s="1"/>
  <c r="P256"/>
  <c r="R257" s="1"/>
  <c r="O256"/>
  <c r="P255"/>
  <c r="M255"/>
  <c r="H255"/>
  <c r="P254"/>
  <c r="O254"/>
  <c r="K254"/>
  <c r="H254"/>
  <c r="P253"/>
  <c r="O253"/>
  <c r="K253"/>
  <c r="H253"/>
  <c r="P252"/>
  <c r="O252"/>
  <c r="K252"/>
  <c r="H252"/>
  <c r="P251"/>
  <c r="O251"/>
  <c r="P250"/>
  <c r="S250" s="1"/>
  <c r="O250"/>
  <c r="H250"/>
  <c r="J250" s="1"/>
  <c r="P249"/>
  <c r="S249" s="1"/>
  <c r="O249"/>
  <c r="H249"/>
  <c r="J249" s="1"/>
  <c r="P248"/>
  <c r="S248" s="1"/>
  <c r="O248"/>
  <c r="H248"/>
  <c r="J248" s="1"/>
  <c r="P247"/>
  <c r="S247" s="1"/>
  <c r="O247"/>
  <c r="H247"/>
  <c r="J247" s="1"/>
  <c r="P246"/>
  <c r="R426" s="1"/>
  <c r="O246"/>
  <c r="H246"/>
  <c r="J246" s="1"/>
  <c r="P245"/>
  <c r="S245" s="1"/>
  <c r="O245"/>
  <c r="H245"/>
  <c r="J245" s="1"/>
  <c r="P244"/>
  <c r="S244" s="1"/>
  <c r="O244"/>
  <c r="H244"/>
  <c r="J244" s="1"/>
  <c r="P243"/>
  <c r="S243" s="1"/>
  <c r="O243"/>
  <c r="G243"/>
  <c r="H243" s="1"/>
  <c r="J243" s="1"/>
  <c r="P242"/>
  <c r="S242" s="1"/>
  <c r="O242"/>
  <c r="H242"/>
  <c r="J242" s="1"/>
  <c r="G242"/>
  <c r="P241"/>
  <c r="S241" s="1"/>
  <c r="O241"/>
  <c r="G241"/>
  <c r="H241" s="1"/>
  <c r="J241" s="1"/>
  <c r="P240"/>
  <c r="R420" s="1"/>
  <c r="O240"/>
  <c r="H240"/>
  <c r="J240" s="1"/>
  <c r="G240"/>
  <c r="P239"/>
  <c r="S239" s="1"/>
  <c r="O239"/>
  <c r="G239"/>
  <c r="H239" s="1"/>
  <c r="J239" s="1"/>
  <c r="P238"/>
  <c r="S238" s="1"/>
  <c r="O238"/>
  <c r="H238"/>
  <c r="J238" s="1"/>
  <c r="G238"/>
  <c r="P237"/>
  <c r="S237" s="1"/>
  <c r="O237"/>
  <c r="H237"/>
  <c r="J237" s="1"/>
  <c r="P236"/>
  <c r="S236" s="1"/>
  <c r="O236"/>
  <c r="J236"/>
  <c r="P235"/>
  <c r="S235" s="1"/>
  <c r="O235"/>
  <c r="J235"/>
  <c r="P234"/>
  <c r="R414" s="1"/>
  <c r="O234"/>
  <c r="H234"/>
  <c r="J234" s="1"/>
  <c r="P233"/>
  <c r="S233" s="1"/>
  <c r="O233"/>
  <c r="H233"/>
  <c r="J233" s="1"/>
  <c r="M232"/>
  <c r="P232" s="1"/>
  <c r="S232" s="1"/>
  <c r="P231"/>
  <c r="J231"/>
  <c r="M230"/>
  <c r="P230" s="1"/>
  <c r="S230" s="1"/>
  <c r="P229"/>
  <c r="S229" s="1"/>
  <c r="J229"/>
  <c r="P228"/>
  <c r="R408" s="1"/>
  <c r="M228"/>
  <c r="H228"/>
  <c r="P227"/>
  <c r="S227" s="1"/>
  <c r="O227"/>
  <c r="J227"/>
  <c r="P226"/>
  <c r="S226" s="1"/>
  <c r="M226"/>
  <c r="H226"/>
  <c r="P225"/>
  <c r="S225" s="1"/>
  <c r="O225"/>
  <c r="J225"/>
  <c r="P224"/>
  <c r="S224" s="1"/>
  <c r="O224"/>
  <c r="J224"/>
  <c r="P222"/>
  <c r="R402" s="1"/>
  <c r="O222"/>
  <c r="K222"/>
  <c r="P221"/>
  <c r="S221" s="1"/>
  <c r="O221"/>
  <c r="K221"/>
  <c r="P220"/>
  <c r="S220" s="1"/>
  <c r="O220"/>
  <c r="K220"/>
  <c r="P219"/>
  <c r="S219" s="1"/>
  <c r="O219"/>
  <c r="K219"/>
  <c r="P218"/>
  <c r="S218" s="1"/>
  <c r="O218"/>
  <c r="K218"/>
  <c r="P217"/>
  <c r="S217" s="1"/>
  <c r="O217"/>
  <c r="K217"/>
  <c r="P216"/>
  <c r="O216"/>
  <c r="K216"/>
  <c r="P215"/>
  <c r="S215" s="1"/>
  <c r="O215"/>
  <c r="K215"/>
  <c r="P214"/>
  <c r="S214" s="1"/>
  <c r="O214"/>
  <c r="K214"/>
  <c r="P213"/>
  <c r="S213" s="1"/>
  <c r="O213"/>
  <c r="K213"/>
  <c r="P212"/>
  <c r="S212" s="1"/>
  <c r="O212"/>
  <c r="K212"/>
  <c r="P211"/>
  <c r="S211" s="1"/>
  <c r="O211"/>
  <c r="K211"/>
  <c r="P210"/>
  <c r="R390" s="1"/>
  <c r="O210"/>
  <c r="K210"/>
  <c r="P209"/>
  <c r="S209" s="1"/>
  <c r="O209"/>
  <c r="K209"/>
  <c r="P208"/>
  <c r="S208" s="1"/>
  <c r="O208"/>
  <c r="K208"/>
  <c r="P207"/>
  <c r="S207" s="1"/>
  <c r="O207"/>
  <c r="K207"/>
  <c r="P206"/>
  <c r="S206" s="1"/>
  <c r="O206"/>
  <c r="K206"/>
  <c r="P205"/>
  <c r="S205" s="1"/>
  <c r="O205"/>
  <c r="K205"/>
  <c r="P204"/>
  <c r="R384" s="1"/>
  <c r="O204"/>
  <c r="K204"/>
  <c r="P203"/>
  <c r="S203" s="1"/>
  <c r="O203"/>
  <c r="K203"/>
  <c r="P202"/>
  <c r="S202" s="1"/>
  <c r="O202"/>
  <c r="K202"/>
  <c r="P201"/>
  <c r="S201" s="1"/>
  <c r="O201"/>
  <c r="K201"/>
  <c r="P200"/>
  <c r="S200" s="1"/>
  <c r="O200"/>
  <c r="K200"/>
  <c r="P199"/>
  <c r="S199" s="1"/>
  <c r="O199"/>
  <c r="K199"/>
  <c r="P198"/>
  <c r="R378" s="1"/>
  <c r="P196"/>
  <c r="S196" s="1"/>
  <c r="O196"/>
  <c r="H196"/>
  <c r="J196" s="1"/>
  <c r="P195"/>
  <c r="H195"/>
  <c r="P194"/>
  <c r="H194"/>
  <c r="P193"/>
  <c r="R194" s="1"/>
  <c r="O193"/>
  <c r="P192"/>
  <c r="R372" s="1"/>
  <c r="H192"/>
  <c r="P191"/>
  <c r="H191"/>
  <c r="P190"/>
  <c r="R191" s="1"/>
  <c r="O190"/>
  <c r="P189"/>
  <c r="O189"/>
  <c r="H189"/>
  <c r="P188"/>
  <c r="H188"/>
  <c r="J188" s="1"/>
  <c r="P187"/>
  <c r="O187"/>
  <c r="H187"/>
  <c r="P186"/>
  <c r="R187" s="1"/>
  <c r="O186"/>
  <c r="P185"/>
  <c r="S185" s="1"/>
  <c r="J185"/>
  <c r="P184"/>
  <c r="S184" s="1"/>
  <c r="O184"/>
  <c r="H184"/>
  <c r="J184" s="1"/>
  <c r="P183"/>
  <c r="S183" s="1"/>
  <c r="O183"/>
  <c r="H183"/>
  <c r="J183" s="1"/>
  <c r="P182"/>
  <c r="S182" s="1"/>
  <c r="O182"/>
  <c r="H182"/>
  <c r="J182" s="1"/>
  <c r="P181"/>
  <c r="S181" s="1"/>
  <c r="O181"/>
  <c r="H181"/>
  <c r="J181" s="1"/>
  <c r="P180"/>
  <c r="R360" s="1"/>
  <c r="O180"/>
  <c r="H180"/>
  <c r="J180" s="1"/>
  <c r="P179"/>
  <c r="O179"/>
  <c r="H179"/>
  <c r="P178"/>
  <c r="O178"/>
  <c r="H178"/>
  <c r="P177"/>
  <c r="O177"/>
  <c r="H177"/>
  <c r="P176"/>
  <c r="S176" s="1"/>
  <c r="O176"/>
  <c r="P175"/>
  <c r="O175"/>
  <c r="H175"/>
  <c r="P174"/>
  <c r="O174"/>
  <c r="H174"/>
  <c r="P173"/>
  <c r="O173"/>
  <c r="H173"/>
  <c r="P172"/>
  <c r="R175" s="1"/>
  <c r="O172"/>
  <c r="P171"/>
  <c r="O171"/>
  <c r="H171"/>
  <c r="P170"/>
  <c r="O170"/>
  <c r="H170"/>
  <c r="P169"/>
  <c r="R171" s="1"/>
  <c r="O169"/>
  <c r="H169"/>
  <c r="P168"/>
  <c r="R348" s="1"/>
  <c r="O168"/>
  <c r="P167"/>
  <c r="O167"/>
  <c r="H167"/>
  <c r="P166"/>
  <c r="O166"/>
  <c r="H166"/>
  <c r="P165"/>
  <c r="O165"/>
  <c r="H165"/>
  <c r="P164"/>
  <c r="R165" s="1"/>
  <c r="O164"/>
  <c r="P163"/>
  <c r="O163"/>
  <c r="H163"/>
  <c r="P162"/>
  <c r="O162"/>
  <c r="H162"/>
  <c r="P161"/>
  <c r="O161"/>
  <c r="H161"/>
  <c r="P160"/>
  <c r="R161" s="1"/>
  <c r="O160"/>
  <c r="P159"/>
  <c r="O159"/>
  <c r="H159"/>
  <c r="P158"/>
  <c r="O158"/>
  <c r="H158"/>
  <c r="P157"/>
  <c r="O157"/>
  <c r="H157"/>
  <c r="P156"/>
  <c r="O156"/>
  <c r="P155"/>
  <c r="O155"/>
  <c r="H155"/>
  <c r="P154"/>
  <c r="O154"/>
  <c r="H154"/>
  <c r="P153"/>
  <c r="R154" s="1"/>
  <c r="O153"/>
  <c r="P152"/>
  <c r="O152"/>
  <c r="H152"/>
  <c r="P151"/>
  <c r="O151"/>
  <c r="H151"/>
  <c r="P150"/>
  <c r="R151" s="1"/>
  <c r="O150"/>
  <c r="P149"/>
  <c r="O149"/>
  <c r="H149"/>
  <c r="P148"/>
  <c r="R270" s="1"/>
  <c r="O148"/>
  <c r="H148"/>
  <c r="P147"/>
  <c r="S147" s="1"/>
  <c r="O147"/>
  <c r="P146"/>
  <c r="O146"/>
  <c r="H146"/>
  <c r="P145"/>
  <c r="O145"/>
  <c r="H145"/>
  <c r="P144"/>
  <c r="R146" s="1"/>
  <c r="O144"/>
  <c r="P143"/>
  <c r="R265" s="1"/>
  <c r="O143"/>
  <c r="H143"/>
  <c r="P142"/>
  <c r="O142"/>
  <c r="H142"/>
  <c r="P141"/>
  <c r="R142" s="1"/>
  <c r="O141"/>
  <c r="P140"/>
  <c r="O140"/>
  <c r="H140"/>
  <c r="P139"/>
  <c r="O139"/>
  <c r="H139"/>
  <c r="P138"/>
  <c r="R285" s="1"/>
  <c r="O138"/>
  <c r="P137"/>
  <c r="O137"/>
  <c r="H137"/>
  <c r="J137" s="1"/>
  <c r="P136"/>
  <c r="R1780" s="1"/>
  <c r="O136"/>
  <c r="H136"/>
  <c r="J136" s="1"/>
  <c r="P135"/>
  <c r="S135" s="1"/>
  <c r="O135"/>
  <c r="H135"/>
  <c r="J135" s="1"/>
  <c r="P134"/>
  <c r="S134" s="1"/>
  <c r="O134"/>
  <c r="J134"/>
  <c r="P133"/>
  <c r="S133" s="1"/>
  <c r="O133"/>
  <c r="J133"/>
  <c r="P132"/>
  <c r="S132" s="1"/>
  <c r="O132"/>
  <c r="J132"/>
  <c r="P131"/>
  <c r="S131" s="1"/>
  <c r="J131"/>
  <c r="P130"/>
  <c r="S130" s="1"/>
  <c r="O130"/>
  <c r="H130"/>
  <c r="J130" s="1"/>
  <c r="P129"/>
  <c r="S129" s="1"/>
  <c r="O129"/>
  <c r="H129"/>
  <c r="J129" s="1"/>
  <c r="P128"/>
  <c r="S128" s="1"/>
  <c r="O128"/>
  <c r="J128"/>
  <c r="P127"/>
  <c r="S127" s="1"/>
  <c r="O127"/>
  <c r="H127"/>
  <c r="J127" s="1"/>
  <c r="P126"/>
  <c r="S126" s="1"/>
  <c r="O126"/>
  <c r="G126"/>
  <c r="H126" s="1"/>
  <c r="J126" s="1"/>
  <c r="P125"/>
  <c r="S125" s="1"/>
  <c r="O125"/>
  <c r="H125"/>
  <c r="J125" s="1"/>
  <c r="P124"/>
  <c r="S124" s="1"/>
  <c r="O124"/>
  <c r="H124"/>
  <c r="J124" s="1"/>
  <c r="P123"/>
  <c r="S123" s="1"/>
  <c r="O123"/>
  <c r="H123"/>
  <c r="P122"/>
  <c r="S122" s="1"/>
  <c r="O122"/>
  <c r="H122"/>
  <c r="P121"/>
  <c r="S121" s="1"/>
  <c r="O121"/>
  <c r="H121"/>
  <c r="P120"/>
  <c r="S120" s="1"/>
  <c r="O120"/>
  <c r="P119"/>
  <c r="S119" s="1"/>
  <c r="O119"/>
  <c r="H119"/>
  <c r="J119" s="1"/>
  <c r="P118"/>
  <c r="S118" s="1"/>
  <c r="O118"/>
  <c r="H118"/>
  <c r="J118" s="1"/>
  <c r="P117"/>
  <c r="S117" s="1"/>
  <c r="O117"/>
  <c r="H117"/>
  <c r="J117" s="1"/>
  <c r="P116"/>
  <c r="S116" s="1"/>
  <c r="O116"/>
  <c r="H116"/>
  <c r="J116" s="1"/>
  <c r="P115"/>
  <c r="S115" s="1"/>
  <c r="O115"/>
  <c r="G115"/>
  <c r="H115" s="1"/>
  <c r="J115" s="1"/>
  <c r="P114"/>
  <c r="S114" s="1"/>
  <c r="O114"/>
  <c r="H114"/>
  <c r="J114" s="1"/>
  <c r="G114"/>
  <c r="P112"/>
  <c r="S112" s="1"/>
  <c r="O112"/>
  <c r="K112"/>
  <c r="P111"/>
  <c r="S111" s="1"/>
  <c r="O111"/>
  <c r="K111"/>
  <c r="P110"/>
  <c r="S110" s="1"/>
  <c r="O110"/>
  <c r="K110"/>
  <c r="P109"/>
  <c r="S109" s="1"/>
  <c r="O109"/>
  <c r="K109"/>
  <c r="P108"/>
  <c r="S108" s="1"/>
  <c r="O108"/>
  <c r="K108"/>
  <c r="P107"/>
  <c r="S107" s="1"/>
  <c r="O107"/>
  <c r="K107"/>
  <c r="P106"/>
  <c r="S106" s="1"/>
  <c r="O106"/>
  <c r="K106"/>
  <c r="P105"/>
  <c r="S105" s="1"/>
  <c r="O105"/>
  <c r="K105"/>
  <c r="P104"/>
  <c r="S104" s="1"/>
  <c r="O104"/>
  <c r="K104"/>
  <c r="P103"/>
  <c r="S103" s="1"/>
  <c r="O103"/>
  <c r="K103"/>
  <c r="P102"/>
  <c r="S102" s="1"/>
  <c r="O102"/>
  <c r="K102"/>
  <c r="P101"/>
  <c r="S101" s="1"/>
  <c r="P100"/>
  <c r="S100" s="1"/>
  <c r="P99"/>
  <c r="S99" s="1"/>
  <c r="P98"/>
  <c r="S98" s="1"/>
  <c r="P97"/>
  <c r="S97" s="1"/>
  <c r="P96"/>
  <c r="S96" s="1"/>
  <c r="P95"/>
  <c r="S95" s="1"/>
  <c r="P94"/>
  <c r="S94" s="1"/>
  <c r="P93"/>
  <c r="S93" s="1"/>
  <c r="P92"/>
  <c r="S92" s="1"/>
  <c r="P91"/>
  <c r="S91" s="1"/>
  <c r="P90"/>
  <c r="S90" s="1"/>
  <c r="P89"/>
  <c r="S89" s="1"/>
  <c r="P88"/>
  <c r="P86"/>
  <c r="S86" s="1"/>
  <c r="O86"/>
  <c r="H86"/>
  <c r="J86" s="1"/>
  <c r="P85"/>
  <c r="S85" s="1"/>
  <c r="O85"/>
  <c r="H85"/>
  <c r="J85" s="1"/>
  <c r="P84"/>
  <c r="S84" s="1"/>
  <c r="H84"/>
  <c r="J84" s="1"/>
  <c r="P83"/>
  <c r="S83" s="1"/>
  <c r="O83"/>
  <c r="H83"/>
  <c r="J83" s="1"/>
  <c r="P82"/>
  <c r="S82" s="1"/>
  <c r="O82"/>
  <c r="H82"/>
  <c r="J82" s="1"/>
  <c r="P81"/>
  <c r="S81" s="1"/>
  <c r="O81"/>
  <c r="J81"/>
  <c r="P80"/>
  <c r="S80" s="1"/>
  <c r="O80"/>
  <c r="J80"/>
  <c r="P79"/>
  <c r="S79" s="1"/>
  <c r="O79"/>
  <c r="J79"/>
  <c r="P78"/>
  <c r="S78" s="1"/>
  <c r="O78"/>
  <c r="J78"/>
  <c r="P77"/>
  <c r="S77" s="1"/>
  <c r="O77"/>
  <c r="J77"/>
  <c r="P76"/>
  <c r="S76" s="1"/>
  <c r="J76"/>
  <c r="P75"/>
  <c r="S75" s="1"/>
  <c r="O75"/>
  <c r="J75"/>
  <c r="P74"/>
  <c r="S74" s="1"/>
  <c r="O74"/>
  <c r="J74"/>
  <c r="P73"/>
  <c r="S73" s="1"/>
  <c r="O73"/>
  <c r="J73"/>
  <c r="P72"/>
  <c r="S72" s="1"/>
  <c r="O72"/>
  <c r="J72"/>
  <c r="P71"/>
  <c r="S71" s="1"/>
  <c r="O71"/>
  <c r="J71"/>
  <c r="P70"/>
  <c r="S70" s="1"/>
  <c r="O70"/>
  <c r="J70"/>
  <c r="P69"/>
  <c r="O69"/>
  <c r="H69"/>
  <c r="J69" s="1"/>
  <c r="P67"/>
  <c r="S67" s="1"/>
  <c r="O67"/>
  <c r="K67"/>
  <c r="P66"/>
  <c r="S66" s="1"/>
  <c r="O66"/>
  <c r="K66"/>
  <c r="P65"/>
  <c r="S65" s="1"/>
  <c r="O65"/>
  <c r="K65"/>
  <c r="P64"/>
  <c r="S64" s="1"/>
  <c r="O64"/>
  <c r="K64"/>
  <c r="P63"/>
  <c r="S63" s="1"/>
  <c r="O63"/>
  <c r="K63"/>
  <c r="P62"/>
  <c r="S62" s="1"/>
  <c r="O62"/>
  <c r="K62"/>
  <c r="P61"/>
  <c r="S61" s="1"/>
  <c r="O61"/>
  <c r="K61"/>
  <c r="P60"/>
  <c r="S60" s="1"/>
  <c r="O60"/>
  <c r="K60"/>
  <c r="P59"/>
  <c r="S59" s="1"/>
  <c r="O59"/>
  <c r="K59"/>
  <c r="P58"/>
  <c r="S58" s="1"/>
  <c r="O58"/>
  <c r="K58"/>
  <c r="P57"/>
  <c r="S57" s="1"/>
  <c r="O57"/>
  <c r="K57"/>
  <c r="P56"/>
  <c r="S56" s="1"/>
  <c r="O56"/>
  <c r="K56"/>
  <c r="P55"/>
  <c r="S55" s="1"/>
  <c r="O55"/>
  <c r="K55"/>
  <c r="P54"/>
  <c r="S54" s="1"/>
  <c r="O54"/>
  <c r="K54"/>
  <c r="P53"/>
  <c r="S53" s="1"/>
  <c r="O53"/>
  <c r="K53"/>
  <c r="P52"/>
  <c r="S52" s="1"/>
  <c r="O52"/>
  <c r="K52"/>
  <c r="P51"/>
  <c r="S51" s="1"/>
  <c r="O51"/>
  <c r="K51"/>
  <c r="P50"/>
  <c r="S50" s="1"/>
  <c r="O50"/>
  <c r="K50"/>
  <c r="P49"/>
  <c r="S49" s="1"/>
  <c r="O49"/>
  <c r="K49"/>
  <c r="P48"/>
  <c r="S48" s="1"/>
  <c r="O48"/>
  <c r="K48"/>
  <c r="P47"/>
  <c r="S47" s="1"/>
  <c r="O47"/>
  <c r="K47"/>
  <c r="P46"/>
  <c r="S46" s="1"/>
  <c r="O46"/>
  <c r="K46"/>
  <c r="P45"/>
  <c r="S45" s="1"/>
  <c r="P44"/>
  <c r="S44" s="1"/>
  <c r="P43"/>
  <c r="P41"/>
  <c r="S41" s="1"/>
  <c r="O41"/>
  <c r="J41"/>
  <c r="P40"/>
  <c r="S40" s="1"/>
  <c r="O40"/>
  <c r="J40"/>
  <c r="P39"/>
  <c r="S39" s="1"/>
  <c r="O39"/>
  <c r="J39"/>
  <c r="P38"/>
  <c r="S38" s="1"/>
  <c r="O38"/>
  <c r="J38"/>
  <c r="P37"/>
  <c r="S37" s="1"/>
  <c r="O37"/>
  <c r="J37"/>
  <c r="P36"/>
  <c r="S36" s="1"/>
  <c r="O36"/>
  <c r="J36"/>
  <c r="P35"/>
  <c r="S35" s="1"/>
  <c r="O35"/>
  <c r="J35"/>
  <c r="P34"/>
  <c r="S34" s="1"/>
  <c r="O34"/>
  <c r="J34"/>
  <c r="P33"/>
  <c r="S33" s="1"/>
  <c r="J33"/>
  <c r="P32"/>
  <c r="S32" s="1"/>
  <c r="O32"/>
  <c r="J32"/>
  <c r="P31"/>
  <c r="S31" s="1"/>
  <c r="O31"/>
  <c r="J31"/>
  <c r="P30"/>
  <c r="S30" s="1"/>
  <c r="O30"/>
  <c r="J30"/>
  <c r="P29"/>
  <c r="S29" s="1"/>
  <c r="O29"/>
  <c r="J29"/>
  <c r="P28"/>
  <c r="S28" s="1"/>
  <c r="O28"/>
  <c r="G28"/>
  <c r="H28" s="1"/>
  <c r="J28" s="1"/>
  <c r="P27"/>
  <c r="S27" s="1"/>
  <c r="O27"/>
  <c r="H27"/>
  <c r="J27" s="1"/>
  <c r="G27"/>
  <c r="P26"/>
  <c r="S26" s="1"/>
  <c r="O26"/>
  <c r="G26"/>
  <c r="H26" s="1"/>
  <c r="J26" s="1"/>
  <c r="P25"/>
  <c r="S25" s="1"/>
  <c r="O25"/>
  <c r="H25"/>
  <c r="J25" s="1"/>
  <c r="G25"/>
  <c r="P24"/>
  <c r="S24" s="1"/>
  <c r="O24"/>
  <c r="H24"/>
  <c r="J24" s="1"/>
  <c r="P23"/>
  <c r="S23" s="1"/>
  <c r="O23"/>
  <c r="H23"/>
  <c r="J23" s="1"/>
  <c r="P22"/>
  <c r="S22" s="1"/>
  <c r="O22"/>
  <c r="J22"/>
  <c r="P21"/>
  <c r="S21" s="1"/>
  <c r="O21"/>
  <c r="J21"/>
  <c r="P20"/>
  <c r="S20" s="1"/>
  <c r="O20"/>
  <c r="J20"/>
  <c r="P19"/>
  <c r="J19"/>
  <c r="F9"/>
  <c r="I2525" l="1"/>
  <c r="I2531"/>
  <c r="I2537"/>
  <c r="I2543"/>
  <c r="I2549"/>
  <c r="I2555"/>
  <c r="I2561"/>
  <c r="I2567"/>
  <c r="I2573"/>
  <c r="I2579"/>
  <c r="S494"/>
  <c r="S618"/>
  <c r="S277"/>
  <c r="R563"/>
  <c r="S2057"/>
  <c r="R2487"/>
  <c r="S372"/>
  <c r="S499"/>
  <c r="R381"/>
  <c r="S381" s="1"/>
  <c r="S1780"/>
  <c r="S161"/>
  <c r="S360"/>
  <c r="S378"/>
  <c r="S390"/>
  <c r="S426"/>
  <c r="S340"/>
  <c r="S484"/>
  <c r="R2503"/>
  <c r="S231"/>
  <c r="Q223"/>
  <c r="S348"/>
  <c r="S558"/>
  <c r="S612"/>
  <c r="R374"/>
  <c r="S557"/>
  <c r="S285"/>
  <c r="H2113"/>
  <c r="J2113" s="1"/>
  <c r="S609"/>
  <c r="S396"/>
  <c r="S442"/>
  <c r="H482"/>
  <c r="J482" s="1"/>
  <c r="S2216"/>
  <c r="S394"/>
  <c r="S1664"/>
  <c r="S563"/>
  <c r="S658"/>
  <c r="H138"/>
  <c r="J138" s="1"/>
  <c r="S265"/>
  <c r="S419"/>
  <c r="R2263"/>
  <c r="S2263" s="1"/>
  <c r="S2272"/>
  <c r="R2412"/>
  <c r="S2412" s="1"/>
  <c r="R2420"/>
  <c r="S2420" s="1"/>
  <c r="S303"/>
  <c r="R2265"/>
  <c r="S2265" s="1"/>
  <c r="S142"/>
  <c r="S420"/>
  <c r="S359"/>
  <c r="S1662"/>
  <c r="S2285"/>
  <c r="S289"/>
  <c r="R2347"/>
  <c r="S2357"/>
  <c r="R2359"/>
  <c r="R2151"/>
  <c r="S2151" s="1"/>
  <c r="S2168"/>
  <c r="S2235"/>
  <c r="S2240"/>
  <c r="S2320"/>
  <c r="S730"/>
  <c r="S1965"/>
  <c r="R2290"/>
  <c r="R564"/>
  <c r="S564" s="1"/>
  <c r="S2096"/>
  <c r="R2194"/>
  <c r="S2194" s="1"/>
  <c r="S234"/>
  <c r="S732"/>
  <c r="S2035"/>
  <c r="S2441"/>
  <c r="S272"/>
  <c r="H625"/>
  <c r="J625" s="1"/>
  <c r="S1668"/>
  <c r="S2165"/>
  <c r="H144"/>
  <c r="J144" s="1"/>
  <c r="S187"/>
  <c r="H1900"/>
  <c r="J1900" s="1"/>
  <c r="R2410"/>
  <c r="S2410" s="1"/>
  <c r="S165"/>
  <c r="S175"/>
  <c r="S368"/>
  <c r="H550"/>
  <c r="J550" s="1"/>
  <c r="R565"/>
  <c r="S634"/>
  <c r="H1960"/>
  <c r="J1960" s="1"/>
  <c r="S1969"/>
  <c r="S2019"/>
  <c r="H2088"/>
  <c r="J2088" s="1"/>
  <c r="R2167"/>
  <c r="S2167" s="1"/>
  <c r="S2178"/>
  <c r="S2561"/>
  <c r="R434"/>
  <c r="S434" s="1"/>
  <c r="H1811"/>
  <c r="J1811" s="1"/>
  <c r="R2067"/>
  <c r="S2067" s="1"/>
  <c r="R2187"/>
  <c r="S2187" s="1"/>
  <c r="H2189"/>
  <c r="J2189" s="1"/>
  <c r="R2199"/>
  <c r="S2199" s="1"/>
  <c r="R2362"/>
  <c r="S2405"/>
  <c r="S2468"/>
  <c r="R2407"/>
  <c r="S2407" s="1"/>
  <c r="S647"/>
  <c r="R2137"/>
  <c r="S2137" s="1"/>
  <c r="S146"/>
  <c r="H261"/>
  <c r="J261" s="1"/>
  <c r="S565"/>
  <c r="R692"/>
  <c r="S692" s="1"/>
  <c r="S1773"/>
  <c r="S1985"/>
  <c r="H2020"/>
  <c r="J2020" s="1"/>
  <c r="S2039"/>
  <c r="S2047"/>
  <c r="S2055"/>
  <c r="S2073"/>
  <c r="R2146"/>
  <c r="S2146" s="1"/>
  <c r="R2157"/>
  <c r="S2157" s="1"/>
  <c r="H2267"/>
  <c r="R2295"/>
  <c r="S2295" s="1"/>
  <c r="R2299"/>
  <c r="S2299" s="1"/>
  <c r="R2313"/>
  <c r="S2313" s="1"/>
  <c r="R2443"/>
  <c r="S2443" s="1"/>
  <c r="R2505"/>
  <c r="S2505" s="1"/>
  <c r="H2507"/>
  <c r="R170"/>
  <c r="S170" s="1"/>
  <c r="S194"/>
  <c r="H361"/>
  <c r="J361" s="1"/>
  <c r="S590"/>
  <c r="S596"/>
  <c r="S602"/>
  <c r="H2036"/>
  <c r="J2036" s="1"/>
  <c r="R2071"/>
  <c r="S2071" s="1"/>
  <c r="S2453"/>
  <c r="H649"/>
  <c r="J649" s="1"/>
  <c r="S554"/>
  <c r="R733"/>
  <c r="S733" s="1"/>
  <c r="H1968"/>
  <c r="J1968" s="1"/>
  <c r="S2051"/>
  <c r="S2079"/>
  <c r="R2182"/>
  <c r="S2182" s="1"/>
  <c r="R2262"/>
  <c r="S2262" s="1"/>
  <c r="S2421"/>
  <c r="R2426"/>
  <c r="S402"/>
  <c r="S326"/>
  <c r="S353"/>
  <c r="R731"/>
  <c r="S731" s="1"/>
  <c r="S2078"/>
  <c r="R2143"/>
  <c r="S2143" s="1"/>
  <c r="R2246"/>
  <c r="R2294"/>
  <c r="S2294" s="1"/>
  <c r="R2310"/>
  <c r="S2310" s="1"/>
  <c r="S2417"/>
  <c r="H637"/>
  <c r="J637" s="1"/>
  <c r="S384"/>
  <c r="S2219"/>
  <c r="S2380"/>
  <c r="R2408"/>
  <c r="S2408" s="1"/>
  <c r="R2444"/>
  <c r="S2444" s="1"/>
  <c r="S270"/>
  <c r="H726"/>
  <c r="J726" s="1"/>
  <c r="S414"/>
  <c r="S2247"/>
  <c r="S2314"/>
  <c r="S492"/>
  <c r="S190"/>
  <c r="H193"/>
  <c r="J193" s="1"/>
  <c r="S256"/>
  <c r="S274"/>
  <c r="S286"/>
  <c r="H343"/>
  <c r="J343" s="1"/>
  <c r="R345"/>
  <c r="S345" s="1"/>
  <c r="H373"/>
  <c r="J373" s="1"/>
  <c r="R376"/>
  <c r="S376" s="1"/>
  <c r="R653"/>
  <c r="S653" s="1"/>
  <c r="R651"/>
  <c r="S651" s="1"/>
  <c r="S367"/>
  <c r="R398"/>
  <c r="R443"/>
  <c r="S443" s="1"/>
  <c r="S480"/>
  <c r="S621"/>
  <c r="S261"/>
  <c r="S278"/>
  <c r="H319"/>
  <c r="J319" s="1"/>
  <c r="R369"/>
  <c r="R375"/>
  <c r="S375" s="1"/>
  <c r="H385"/>
  <c r="J385" s="1"/>
  <c r="H120"/>
  <c r="J120" s="1"/>
  <c r="R145"/>
  <c r="S145" s="1"/>
  <c r="H147"/>
  <c r="J147" s="1"/>
  <c r="H186"/>
  <c r="J186" s="1"/>
  <c r="S299"/>
  <c r="R363"/>
  <c r="S363" s="1"/>
  <c r="H379"/>
  <c r="J379" s="1"/>
  <c r="R400"/>
  <c r="S400" s="1"/>
  <c r="R440"/>
  <c r="S440" s="1"/>
  <c r="S293"/>
  <c r="S153"/>
  <c r="S435"/>
  <c r="S439"/>
  <c r="S489"/>
  <c r="R632"/>
  <c r="S632" s="1"/>
  <c r="R633"/>
  <c r="S633" s="1"/>
  <c r="S631"/>
  <c r="H251"/>
  <c r="J251" s="1"/>
  <c r="R264"/>
  <c r="S264" s="1"/>
  <c r="R495"/>
  <c r="S495" s="1"/>
  <c r="R502"/>
  <c r="S502" s="1"/>
  <c r="Q528"/>
  <c r="H1796"/>
  <c r="J1796" s="1"/>
  <c r="R2066"/>
  <c r="S2066" s="1"/>
  <c r="R2070"/>
  <c r="S2070" s="1"/>
  <c r="S2132"/>
  <c r="R2156"/>
  <c r="S2156" s="1"/>
  <c r="H2201"/>
  <c r="J2201" s="1"/>
  <c r="H2285"/>
  <c r="J2285" s="1"/>
  <c r="S2290"/>
  <c r="R2323"/>
  <c r="S2323" s="1"/>
  <c r="S2333"/>
  <c r="S2387"/>
  <c r="S2459"/>
  <c r="H1766"/>
  <c r="J1766" s="1"/>
  <c r="S1949"/>
  <c r="H2032"/>
  <c r="J2032" s="1"/>
  <c r="H2073"/>
  <c r="J2073" s="1"/>
  <c r="S2086"/>
  <c r="H2321"/>
  <c r="J2321" s="1"/>
  <c r="R2335"/>
  <c r="S2335" s="1"/>
  <c r="S2363"/>
  <c r="S2426"/>
  <c r="S2537"/>
  <c r="S626"/>
  <c r="S693"/>
  <c r="H1851"/>
  <c r="J1851" s="1"/>
  <c r="H1855"/>
  <c r="J1855" s="1"/>
  <c r="H1944"/>
  <c r="J1944" s="1"/>
  <c r="H1956"/>
  <c r="J1956" s="1"/>
  <c r="S2015"/>
  <c r="H2093"/>
  <c r="J2093" s="1"/>
  <c r="H2118"/>
  <c r="J2118" s="1"/>
  <c r="R2160"/>
  <c r="S2160" s="1"/>
  <c r="R2163"/>
  <c r="S2163" s="1"/>
  <c r="S2264"/>
  <c r="R2287"/>
  <c r="S2287" s="1"/>
  <c r="S2348"/>
  <c r="H2357"/>
  <c r="J2357" s="1"/>
  <c r="H2363"/>
  <c r="J2363" s="1"/>
  <c r="S2381"/>
  <c r="R2384"/>
  <c r="S2384" s="1"/>
  <c r="R2419"/>
  <c r="S2419" s="1"/>
  <c r="S2445"/>
  <c r="R2446"/>
  <c r="S2480"/>
  <c r="R2504"/>
  <c r="S2504" s="1"/>
  <c r="S2555"/>
  <c r="S2566"/>
  <c r="H1769"/>
  <c r="J1769" s="1"/>
  <c r="R1771"/>
  <c r="S1771" s="1"/>
  <c r="H1864"/>
  <c r="J1864" s="1"/>
  <c r="H1904"/>
  <c r="J1904" s="1"/>
  <c r="S2077"/>
  <c r="R2115"/>
  <c r="S2115" s="1"/>
  <c r="S2261"/>
  <c r="R2266"/>
  <c r="R2289"/>
  <c r="S2289" s="1"/>
  <c r="S2296"/>
  <c r="S2345"/>
  <c r="S2356"/>
  <c r="S2358"/>
  <c r="R2360"/>
  <c r="S2360" s="1"/>
  <c r="S2397"/>
  <c r="R2404"/>
  <c r="S2404" s="1"/>
  <c r="R2428"/>
  <c r="S2428" s="1"/>
  <c r="R2430"/>
  <c r="S2430" s="1"/>
  <c r="R2475"/>
  <c r="S2475" s="1"/>
  <c r="S2572"/>
  <c r="S2578"/>
  <c r="R2631"/>
  <c r="S2631" s="1"/>
  <c r="H1815"/>
  <c r="J1815" s="1"/>
  <c r="S1989"/>
  <c r="R2193"/>
  <c r="S2193" s="1"/>
  <c r="R2274"/>
  <c r="S2274" s="1"/>
  <c r="R2286"/>
  <c r="S2286" s="1"/>
  <c r="S2334"/>
  <c r="R2383"/>
  <c r="S2383" s="1"/>
  <c r="R2386"/>
  <c r="S2386" s="1"/>
  <c r="R2391"/>
  <c r="S2391" s="1"/>
  <c r="R2409"/>
  <c r="S2409" s="1"/>
  <c r="S2413"/>
  <c r="R2418"/>
  <c r="S2418" s="1"/>
  <c r="R2456"/>
  <c r="S2456" s="1"/>
  <c r="R2162"/>
  <c r="R2436"/>
  <c r="S2436" s="1"/>
  <c r="R2466"/>
  <c r="S2466" s="1"/>
  <c r="S1772"/>
  <c r="H2108"/>
  <c r="J2108" s="1"/>
  <c r="R2110"/>
  <c r="S2110" s="1"/>
  <c r="R2114"/>
  <c r="S2114" s="1"/>
  <c r="R2154"/>
  <c r="S2154" s="1"/>
  <c r="R2190"/>
  <c r="R2214"/>
  <c r="S2223"/>
  <c r="H2225"/>
  <c r="J2225" s="1"/>
  <c r="R2336"/>
  <c r="S2336" s="1"/>
  <c r="R2388"/>
  <c r="S2388" s="1"/>
  <c r="H2435"/>
  <c r="S1676"/>
  <c r="H2056"/>
  <c r="J2056" s="1"/>
  <c r="R2161"/>
  <c r="S2161" s="1"/>
  <c r="R2164"/>
  <c r="S2164" s="1"/>
  <c r="S88"/>
  <c r="R87"/>
  <c r="S87" s="1"/>
  <c r="R149"/>
  <c r="S149" s="1"/>
  <c r="H156"/>
  <c r="J156" s="1"/>
  <c r="R179"/>
  <c r="S179" s="1"/>
  <c r="R177"/>
  <c r="S177" s="1"/>
  <c r="R178"/>
  <c r="S178" s="1"/>
  <c r="S186"/>
  <c r="R428"/>
  <c r="S428" s="1"/>
  <c r="R429"/>
  <c r="S429" s="1"/>
  <c r="S427"/>
  <c r="R430"/>
  <c r="S430" s="1"/>
  <c r="R431"/>
  <c r="S431" s="1"/>
  <c r="R640"/>
  <c r="S640" s="1"/>
  <c r="S637"/>
  <c r="R641"/>
  <c r="S641" s="1"/>
  <c r="R638"/>
  <c r="S638" s="1"/>
  <c r="R639"/>
  <c r="S639" s="1"/>
  <c r="Q785"/>
  <c r="Q2666" s="1"/>
  <c r="R174"/>
  <c r="S174" s="1"/>
  <c r="H190"/>
  <c r="J190" s="1"/>
  <c r="H337"/>
  <c r="J337" s="1"/>
  <c r="R752"/>
  <c r="S752" s="1"/>
  <c r="R336"/>
  <c r="S336" s="1"/>
  <c r="R159"/>
  <c r="S159" s="1"/>
  <c r="R42"/>
  <c r="S42" s="1"/>
  <c r="H168"/>
  <c r="J168" s="1"/>
  <c r="S141"/>
  <c r="S151"/>
  <c r="R157"/>
  <c r="S157" s="1"/>
  <c r="S164"/>
  <c r="R167"/>
  <c r="S167" s="1"/>
  <c r="R166"/>
  <c r="S166" s="1"/>
  <c r="R269"/>
  <c r="S269" s="1"/>
  <c r="S266"/>
  <c r="H313"/>
  <c r="J313" s="1"/>
  <c r="R158"/>
  <c r="S158" s="1"/>
  <c r="H164"/>
  <c r="J164" s="1"/>
  <c r="R173"/>
  <c r="S173" s="1"/>
  <c r="R252"/>
  <c r="S252" s="1"/>
  <c r="S251"/>
  <c r="R254"/>
  <c r="S254" s="1"/>
  <c r="S280"/>
  <c r="R281"/>
  <c r="S281" s="1"/>
  <c r="S160"/>
  <c r="R163"/>
  <c r="S163" s="1"/>
  <c r="R162"/>
  <c r="S162" s="1"/>
  <c r="R169"/>
  <c r="S169" s="1"/>
  <c r="S193"/>
  <c r="R195"/>
  <c r="S195" s="1"/>
  <c r="R316"/>
  <c r="S316" s="1"/>
  <c r="R317"/>
  <c r="S317" s="1"/>
  <c r="S313"/>
  <c r="R314"/>
  <c r="R315"/>
  <c r="S315" s="1"/>
  <c r="R540"/>
  <c r="S540" s="1"/>
  <c r="S538"/>
  <c r="R539"/>
  <c r="S539" s="1"/>
  <c r="R1781"/>
  <c r="S1781" s="1"/>
  <c r="S137"/>
  <c r="H160"/>
  <c r="J160" s="1"/>
  <c r="H153"/>
  <c r="J153" s="1"/>
  <c r="S171"/>
  <c r="H172"/>
  <c r="J172" s="1"/>
  <c r="R197"/>
  <c r="S197" s="1"/>
  <c r="S257"/>
  <c r="S283"/>
  <c r="S287"/>
  <c r="S298"/>
  <c r="R302"/>
  <c r="S302" s="1"/>
  <c r="H331"/>
  <c r="J331" s="1"/>
  <c r="R350"/>
  <c r="S350" s="1"/>
  <c r="R371"/>
  <c r="S371" s="1"/>
  <c r="S398"/>
  <c r="S415"/>
  <c r="H421"/>
  <c r="J421" s="1"/>
  <c r="H433"/>
  <c r="J433" s="1"/>
  <c r="H439"/>
  <c r="J439" s="1"/>
  <c r="S487"/>
  <c r="H492"/>
  <c r="J492" s="1"/>
  <c r="S503"/>
  <c r="S561"/>
  <c r="H631"/>
  <c r="J631" s="1"/>
  <c r="R644"/>
  <c r="S644" s="1"/>
  <c r="S655"/>
  <c r="H266"/>
  <c r="J266" s="1"/>
  <c r="H397"/>
  <c r="J397" s="1"/>
  <c r="H487"/>
  <c r="J487" s="1"/>
  <c r="H643"/>
  <c r="J643" s="1"/>
  <c r="H150"/>
  <c r="J150" s="1"/>
  <c r="H176"/>
  <c r="J176" s="1"/>
  <c r="S271"/>
  <c r="S292"/>
  <c r="S301"/>
  <c r="R304"/>
  <c r="S349"/>
  <c r="R352"/>
  <c r="S352" s="1"/>
  <c r="R370"/>
  <c r="S370" s="1"/>
  <c r="R382"/>
  <c r="S382" s="1"/>
  <c r="S391"/>
  <c r="S412"/>
  <c r="R441"/>
  <c r="S441" s="1"/>
  <c r="S477"/>
  <c r="R479"/>
  <c r="S479" s="1"/>
  <c r="S643"/>
  <c r="R657"/>
  <c r="S657" s="1"/>
  <c r="H141"/>
  <c r="J141" s="1"/>
  <c r="S154"/>
  <c r="S180"/>
  <c r="S191"/>
  <c r="S262"/>
  <c r="S275"/>
  <c r="H325"/>
  <c r="J325" s="1"/>
  <c r="S332"/>
  <c r="S347"/>
  <c r="H349"/>
  <c r="J349" s="1"/>
  <c r="S386"/>
  <c r="H409"/>
  <c r="J409" s="1"/>
  <c r="H477"/>
  <c r="J477" s="1"/>
  <c r="H558"/>
  <c r="J558" s="1"/>
  <c r="R646"/>
  <c r="S646" s="1"/>
  <c r="R650"/>
  <c r="S650" s="1"/>
  <c r="H655"/>
  <c r="J655" s="1"/>
  <c r="R659"/>
  <c r="S659" s="1"/>
  <c r="R729"/>
  <c r="S729" s="1"/>
  <c r="R351"/>
  <c r="S351" s="1"/>
  <c r="H355"/>
  <c r="J355" s="1"/>
  <c r="S365"/>
  <c r="S369"/>
  <c r="S374"/>
  <c r="R393"/>
  <c r="S393" s="1"/>
  <c r="S399"/>
  <c r="H554"/>
  <c r="J554" s="1"/>
  <c r="R635"/>
  <c r="S635" s="1"/>
  <c r="R645"/>
  <c r="S645" s="1"/>
  <c r="R656"/>
  <c r="S656" s="1"/>
  <c r="R259"/>
  <c r="S259" s="1"/>
  <c r="S290"/>
  <c r="J391"/>
  <c r="R395"/>
  <c r="S395" s="1"/>
  <c r="R478"/>
  <c r="S478" s="1"/>
  <c r="H497"/>
  <c r="J497" s="1"/>
  <c r="R652"/>
  <c r="S652" s="1"/>
  <c r="S284"/>
  <c r="R305"/>
  <c r="S305" s="1"/>
  <c r="R392"/>
  <c r="S392" s="1"/>
  <c r="H2135"/>
  <c r="J2135" s="1"/>
  <c r="H2177"/>
  <c r="J2177" s="1"/>
  <c r="R1672"/>
  <c r="S1672" s="1"/>
  <c r="S1670"/>
  <c r="S2005"/>
  <c r="H2375"/>
  <c r="J2375" s="1"/>
  <c r="R1673"/>
  <c r="S1673" s="1"/>
  <c r="R1758"/>
  <c r="S1758" s="1"/>
  <c r="R1759"/>
  <c r="S1759" s="1"/>
  <c r="S1766"/>
  <c r="R1767"/>
  <c r="R2097"/>
  <c r="R2094"/>
  <c r="S2094" s="1"/>
  <c r="R2095"/>
  <c r="S2095" s="1"/>
  <c r="S2093"/>
  <c r="H2351"/>
  <c r="J2351" s="1"/>
  <c r="R1663"/>
  <c r="S1663" s="1"/>
  <c r="R1671"/>
  <c r="S1671" s="1"/>
  <c r="R1768"/>
  <c r="S1768" s="1"/>
  <c r="H1772"/>
  <c r="J1772" s="1"/>
  <c r="H1823"/>
  <c r="J1823" s="1"/>
  <c r="R2120"/>
  <c r="S2120" s="1"/>
  <c r="R2119"/>
  <c r="S2119" s="1"/>
  <c r="S2118"/>
  <c r="R1612"/>
  <c r="S1612" s="1"/>
  <c r="R1764"/>
  <c r="S1764" s="1"/>
  <c r="R1777"/>
  <c r="S1777" s="1"/>
  <c r="R1776"/>
  <c r="S1776" s="1"/>
  <c r="S2001"/>
  <c r="S2060"/>
  <c r="R2063"/>
  <c r="S2063" s="1"/>
  <c r="R2062"/>
  <c r="S2062" s="1"/>
  <c r="H1666"/>
  <c r="J1666" s="1"/>
  <c r="S1674"/>
  <c r="H1757"/>
  <c r="J1757" s="1"/>
  <c r="S1770"/>
  <c r="H1775"/>
  <c r="J1775" s="1"/>
  <c r="H1788"/>
  <c r="J1788" s="1"/>
  <c r="H1831"/>
  <c r="J1831" s="1"/>
  <c r="H1839"/>
  <c r="J1839" s="1"/>
  <c r="H1847"/>
  <c r="J1847" s="1"/>
  <c r="H1916"/>
  <c r="J1916" s="1"/>
  <c r="H1932"/>
  <c r="J1932" s="1"/>
  <c r="H1936"/>
  <c r="J1936" s="1"/>
  <c r="H1952"/>
  <c r="J1952" s="1"/>
  <c r="H1984"/>
  <c r="J1984" s="1"/>
  <c r="H2052"/>
  <c r="J2052" s="1"/>
  <c r="H2060"/>
  <c r="J2060" s="1"/>
  <c r="R2075"/>
  <c r="S2075" s="1"/>
  <c r="R2091"/>
  <c r="S2091" s="1"/>
  <c r="S2117"/>
  <c r="S2140"/>
  <c r="R2148"/>
  <c r="S2148" s="1"/>
  <c r="S2158"/>
  <c r="H2159"/>
  <c r="J2159" s="1"/>
  <c r="R2191"/>
  <c r="S2191" s="1"/>
  <c r="R2206"/>
  <c r="S2206" s="1"/>
  <c r="R2215"/>
  <c r="S2215" s="1"/>
  <c r="R2218"/>
  <c r="S2218" s="1"/>
  <c r="R2230"/>
  <c r="S2230" s="1"/>
  <c r="R2239"/>
  <c r="S2239" s="1"/>
  <c r="R2242"/>
  <c r="S2242" s="1"/>
  <c r="S2246"/>
  <c r="R2251"/>
  <c r="S2251" s="1"/>
  <c r="R2322"/>
  <c r="S2322" s="1"/>
  <c r="S2342"/>
  <c r="R2344"/>
  <c r="S2344" s="1"/>
  <c r="S2369"/>
  <c r="H2393"/>
  <c r="J2393" s="1"/>
  <c r="H2411"/>
  <c r="S2433"/>
  <c r="S2435"/>
  <c r="R2450"/>
  <c r="S2450" s="1"/>
  <c r="S2465"/>
  <c r="R2472"/>
  <c r="S2472" s="1"/>
  <c r="H2495"/>
  <c r="S2525"/>
  <c r="S2536"/>
  <c r="S2573"/>
  <c r="S2584"/>
  <c r="S2632"/>
  <c r="S1769"/>
  <c r="H1827"/>
  <c r="J1827" s="1"/>
  <c r="H1908"/>
  <c r="J1908" s="1"/>
  <c r="S1957"/>
  <c r="S2011"/>
  <c r="S2027"/>
  <c r="H2048"/>
  <c r="J2048" s="1"/>
  <c r="H2103"/>
  <c r="J2103" s="1"/>
  <c r="R2111"/>
  <c r="S2111" s="1"/>
  <c r="S2113"/>
  <c r="R2116"/>
  <c r="S2116" s="1"/>
  <c r="R2142"/>
  <c r="S2142" s="1"/>
  <c r="R2145"/>
  <c r="S2145" s="1"/>
  <c r="S2153"/>
  <c r="S2162"/>
  <c r="R2179"/>
  <c r="S2179" s="1"/>
  <c r="R2203"/>
  <c r="S2203" s="1"/>
  <c r="H2255"/>
  <c r="R2271"/>
  <c r="S2271" s="1"/>
  <c r="R2278"/>
  <c r="S2278" s="1"/>
  <c r="R2298"/>
  <c r="S2298" s="1"/>
  <c r="S2309"/>
  <c r="R2312"/>
  <c r="S2312" s="1"/>
  <c r="R2337"/>
  <c r="S2337" s="1"/>
  <c r="S2339"/>
  <c r="R2346"/>
  <c r="S2346" s="1"/>
  <c r="S2382"/>
  <c r="R2385"/>
  <c r="S2385" s="1"/>
  <c r="S2389"/>
  <c r="H2387"/>
  <c r="R2396"/>
  <c r="S2396" s="1"/>
  <c r="S2406"/>
  <c r="S2411"/>
  <c r="R2422"/>
  <c r="S2422" s="1"/>
  <c r="S2429"/>
  <c r="R2442"/>
  <c r="S2442" s="1"/>
  <c r="R2455"/>
  <c r="S2455" s="1"/>
  <c r="R2458"/>
  <c r="S2458" s="1"/>
  <c r="S2506"/>
  <c r="S2531"/>
  <c r="S2542"/>
  <c r="S2579"/>
  <c r="R2585"/>
  <c r="S2585" s="1"/>
  <c r="H1948"/>
  <c r="J1948" s="1"/>
  <c r="H1980"/>
  <c r="J1980" s="1"/>
  <c r="H2068"/>
  <c r="J2068" s="1"/>
  <c r="H2078"/>
  <c r="J2078" s="1"/>
  <c r="H2141"/>
  <c r="J2141" s="1"/>
  <c r="S2149"/>
  <c r="H2153"/>
  <c r="R2227"/>
  <c r="S2227" s="1"/>
  <c r="R2238"/>
  <c r="S2238" s="1"/>
  <c r="R2250"/>
  <c r="S2250" s="1"/>
  <c r="R2319"/>
  <c r="S2319" s="1"/>
  <c r="R2372"/>
  <c r="S2372" s="1"/>
  <c r="R2395"/>
  <c r="S2395" s="1"/>
  <c r="H2423"/>
  <c r="J2423" s="1"/>
  <c r="R2432"/>
  <c r="S2432" s="1"/>
  <c r="R2452"/>
  <c r="S2452" s="1"/>
  <c r="R2511"/>
  <c r="S2511" s="1"/>
  <c r="S2548"/>
  <c r="H1678"/>
  <c r="J1678" s="1"/>
  <c r="H1802"/>
  <c r="J1802" s="1"/>
  <c r="H1819"/>
  <c r="J1819" s="1"/>
  <c r="H1940"/>
  <c r="J1940" s="1"/>
  <c r="S1953"/>
  <c r="H2004"/>
  <c r="J2004" s="1"/>
  <c r="R2074"/>
  <c r="S2074" s="1"/>
  <c r="R2090"/>
  <c r="S2090" s="1"/>
  <c r="H2098"/>
  <c r="J2098" s="1"/>
  <c r="S2141"/>
  <c r="S2144"/>
  <c r="S2147"/>
  <c r="R2155"/>
  <c r="S2155" s="1"/>
  <c r="R2202"/>
  <c r="S2202" s="1"/>
  <c r="R2217"/>
  <c r="S2217" s="1"/>
  <c r="R2241"/>
  <c r="S2241" s="1"/>
  <c r="S2266"/>
  <c r="R2270"/>
  <c r="S2270" s="1"/>
  <c r="R2326"/>
  <c r="S2326" s="1"/>
  <c r="H2333"/>
  <c r="J2333" s="1"/>
  <c r="R2371"/>
  <c r="S2371" s="1"/>
  <c r="H2399"/>
  <c r="J2399" s="1"/>
  <c r="R2402"/>
  <c r="S2402" s="1"/>
  <c r="S2457"/>
  <c r="R2460"/>
  <c r="S2460" s="1"/>
  <c r="S2473"/>
  <c r="R2478"/>
  <c r="S2478" s="1"/>
  <c r="R2481"/>
  <c r="S2481" s="1"/>
  <c r="H2483"/>
  <c r="R2488"/>
  <c r="S2488" s="1"/>
  <c r="S2503"/>
  <c r="S2543"/>
  <c r="H1763"/>
  <c r="J1763" s="1"/>
  <c r="H1835"/>
  <c r="J1835" s="1"/>
  <c r="H1843"/>
  <c r="J1843" s="1"/>
  <c r="H1859"/>
  <c r="J1859" s="1"/>
  <c r="H1912"/>
  <c r="J1912" s="1"/>
  <c r="H1920"/>
  <c r="J1920" s="1"/>
  <c r="H2000"/>
  <c r="J2000" s="1"/>
  <c r="H2147"/>
  <c r="J2147" s="1"/>
  <c r="S2192"/>
  <c r="R2226"/>
  <c r="H2231"/>
  <c r="R2275"/>
  <c r="S2275" s="1"/>
  <c r="S2288"/>
  <c r="R2302"/>
  <c r="S2302" s="1"/>
  <c r="R2311"/>
  <c r="S2311" s="1"/>
  <c r="R2318"/>
  <c r="S2318" s="1"/>
  <c r="S2367"/>
  <c r="H2381"/>
  <c r="J2381" s="1"/>
  <c r="R2394"/>
  <c r="S2394" s="1"/>
  <c r="R2431"/>
  <c r="S2431" s="1"/>
  <c r="R2434"/>
  <c r="S2434" s="1"/>
  <c r="R2454"/>
  <c r="S2454" s="1"/>
  <c r="S2461"/>
  <c r="H2459"/>
  <c r="J2459" s="1"/>
  <c r="S2549"/>
  <c r="H1805"/>
  <c r="J1805" s="1"/>
  <c r="R2076"/>
  <c r="S2076" s="1"/>
  <c r="R2254"/>
  <c r="S2254" s="1"/>
  <c r="H2273"/>
  <c r="J2273" s="1"/>
  <c r="H2303"/>
  <c r="J2303" s="1"/>
  <c r="H2327"/>
  <c r="R2352"/>
  <c r="S2352" s="1"/>
  <c r="R2370"/>
  <c r="S2370" s="1"/>
  <c r="H2441"/>
  <c r="J2441" s="1"/>
  <c r="H2213"/>
  <c r="J2213" s="1"/>
  <c r="H2249"/>
  <c r="J2249" s="1"/>
  <c r="S2327"/>
  <c r="H2339"/>
  <c r="S2347"/>
  <c r="R2354"/>
  <c r="S2354" s="1"/>
  <c r="S2373"/>
  <c r="S2393"/>
  <c r="S2446"/>
  <c r="H2465"/>
  <c r="R2512"/>
  <c r="S2512" s="1"/>
  <c r="S2567"/>
  <c r="S2279"/>
  <c r="S2123"/>
  <c r="R2127"/>
  <c r="S2127" s="1"/>
  <c r="R2124"/>
  <c r="S2124" s="1"/>
  <c r="S482"/>
  <c r="Q473"/>
  <c r="R485"/>
  <c r="S485" s="1"/>
  <c r="R483"/>
  <c r="S483" s="1"/>
  <c r="S403"/>
  <c r="S408"/>
  <c r="Q68"/>
  <c r="Q18"/>
  <c r="H301"/>
  <c r="J301" s="1"/>
  <c r="P2664"/>
  <c r="P2673"/>
  <c r="P2663"/>
  <c r="S69"/>
  <c r="R140"/>
  <c r="S140" s="1"/>
  <c r="R324"/>
  <c r="S324" s="1"/>
  <c r="R312"/>
  <c r="S312" s="1"/>
  <c r="R148"/>
  <c r="S148" s="1"/>
  <c r="R189"/>
  <c r="S189" s="1"/>
  <c r="S246"/>
  <c r="S19"/>
  <c r="S136"/>
  <c r="S144"/>
  <c r="S156"/>
  <c r="S168"/>
  <c r="R172"/>
  <c r="S172" s="1"/>
  <c r="S198"/>
  <c r="S204"/>
  <c r="S210"/>
  <c r="S216"/>
  <c r="S222"/>
  <c r="S240"/>
  <c r="R253"/>
  <c r="S253" s="1"/>
  <c r="R258"/>
  <c r="S258" s="1"/>
  <c r="R263"/>
  <c r="S263" s="1"/>
  <c r="R268"/>
  <c r="S268" s="1"/>
  <c r="R366"/>
  <c r="S366" s="1"/>
  <c r="R438"/>
  <c r="S438" s="1"/>
  <c r="R432"/>
  <c r="S432" s="1"/>
  <c r="S307"/>
  <c r="R310"/>
  <c r="S310" s="1"/>
  <c r="R311"/>
  <c r="S311" s="1"/>
  <c r="R321"/>
  <c r="S321" s="1"/>
  <c r="R323"/>
  <c r="S323" s="1"/>
  <c r="S319"/>
  <c r="R322"/>
  <c r="S322" s="1"/>
  <c r="S43"/>
  <c r="Q113"/>
  <c r="R139"/>
  <c r="S139" s="1"/>
  <c r="R143"/>
  <c r="S143" s="1"/>
  <c r="R155"/>
  <c r="S155" s="1"/>
  <c r="R188"/>
  <c r="S188" s="1"/>
  <c r="R192"/>
  <c r="S192" s="1"/>
  <c r="R1882"/>
  <c r="S1882" s="1"/>
  <c r="R1881"/>
  <c r="S1881" s="1"/>
  <c r="R1880"/>
  <c r="S1880" s="1"/>
  <c r="R1886"/>
  <c r="S1886" s="1"/>
  <c r="R1885"/>
  <c r="S1885" s="1"/>
  <c r="R1884"/>
  <c r="S1884" s="1"/>
  <c r="R1894"/>
  <c r="S1894" s="1"/>
  <c r="R1893"/>
  <c r="S1893" s="1"/>
  <c r="R1892"/>
  <c r="S1892" s="1"/>
  <c r="R1898"/>
  <c r="S1898" s="1"/>
  <c r="R1897"/>
  <c r="S1897" s="1"/>
  <c r="R1896"/>
  <c r="S1896" s="1"/>
  <c r="R1902"/>
  <c r="S1902" s="1"/>
  <c r="R1901"/>
  <c r="S1901" s="1"/>
  <c r="R1900"/>
  <c r="S1900" s="1"/>
  <c r="R342"/>
  <c r="S342" s="1"/>
  <c r="R1906"/>
  <c r="S1906" s="1"/>
  <c r="R1904"/>
  <c r="S1904" s="1"/>
  <c r="R1905"/>
  <c r="S1905" s="1"/>
  <c r="R1910"/>
  <c r="S1910" s="1"/>
  <c r="R1908"/>
  <c r="S1908" s="1"/>
  <c r="R1909"/>
  <c r="S1909" s="1"/>
  <c r="R267"/>
  <c r="S267" s="1"/>
  <c r="R273"/>
  <c r="S273" s="1"/>
  <c r="R279"/>
  <c r="S279" s="1"/>
  <c r="H307"/>
  <c r="J307" s="1"/>
  <c r="S314"/>
  <c r="R327"/>
  <c r="S327" s="1"/>
  <c r="R329"/>
  <c r="S329" s="1"/>
  <c r="S325"/>
  <c r="R328"/>
  <c r="S328" s="1"/>
  <c r="R356"/>
  <c r="S356" s="1"/>
  <c r="R357"/>
  <c r="S357" s="1"/>
  <c r="R358"/>
  <c r="S358" s="1"/>
  <c r="S355"/>
  <c r="R2028"/>
  <c r="S2028" s="1"/>
  <c r="R1930"/>
  <c r="S1930" s="1"/>
  <c r="R1926"/>
  <c r="S1926" s="1"/>
  <c r="R1922"/>
  <c r="S1922" s="1"/>
  <c r="R1878"/>
  <c r="S1878" s="1"/>
  <c r="R1874"/>
  <c r="S1874" s="1"/>
  <c r="R1870"/>
  <c r="S1870" s="1"/>
  <c r="R2029"/>
  <c r="S2029" s="1"/>
  <c r="R1932"/>
  <c r="S1932" s="1"/>
  <c r="R1928"/>
  <c r="S1928" s="1"/>
  <c r="R1924"/>
  <c r="S1924" s="1"/>
  <c r="R1920"/>
  <c r="S1920" s="1"/>
  <c r="R2030"/>
  <c r="S2030" s="1"/>
  <c r="R1921"/>
  <c r="S1921" s="1"/>
  <c r="R1877"/>
  <c r="S1877" s="1"/>
  <c r="R1873"/>
  <c r="S1873" s="1"/>
  <c r="R1869"/>
  <c r="S1869" s="1"/>
  <c r="R1861"/>
  <c r="S1861" s="1"/>
  <c r="R1853"/>
  <c r="S1853" s="1"/>
  <c r="R1933"/>
  <c r="S1933" s="1"/>
  <c r="R1864"/>
  <c r="S1864" s="1"/>
  <c r="R1856"/>
  <c r="S1856" s="1"/>
  <c r="R1815"/>
  <c r="S1815" s="1"/>
  <c r="R1811"/>
  <c r="S1811" s="1"/>
  <c r="R1795"/>
  <c r="S1795" s="1"/>
  <c r="R1807"/>
  <c r="S1807" s="1"/>
  <c r="R1803"/>
  <c r="S1803" s="1"/>
  <c r="R1785"/>
  <c r="S1785" s="1"/>
  <c r="R1925"/>
  <c r="S1925" s="1"/>
  <c r="R1862"/>
  <c r="S1862" s="1"/>
  <c r="R1854"/>
  <c r="S1854" s="1"/>
  <c r="R1848"/>
  <c r="S1848" s="1"/>
  <c r="R1844"/>
  <c r="S1844" s="1"/>
  <c r="R1840"/>
  <c r="S1840" s="1"/>
  <c r="R1836"/>
  <c r="S1836" s="1"/>
  <c r="R1832"/>
  <c r="S1832" s="1"/>
  <c r="R1828"/>
  <c r="S1828" s="1"/>
  <c r="R1824"/>
  <c r="S1824" s="1"/>
  <c r="R1820"/>
  <c r="S1820" s="1"/>
  <c r="R1816"/>
  <c r="S1816" s="1"/>
  <c r="R1812"/>
  <c r="S1812" s="1"/>
  <c r="R1808"/>
  <c r="S1808" s="1"/>
  <c r="R1786"/>
  <c r="S1786" s="1"/>
  <c r="R1865"/>
  <c r="S1865" s="1"/>
  <c r="R1857"/>
  <c r="S1857" s="1"/>
  <c r="R1804"/>
  <c r="S1804" s="1"/>
  <c r="R1876"/>
  <c r="S1876" s="1"/>
  <c r="R1872"/>
  <c r="S1872" s="1"/>
  <c r="R1868"/>
  <c r="S1868" s="1"/>
  <c r="R1860"/>
  <c r="S1860" s="1"/>
  <c r="R1852"/>
  <c r="S1852" s="1"/>
  <c r="R1849"/>
  <c r="S1849" s="1"/>
  <c r="R1845"/>
  <c r="S1845" s="1"/>
  <c r="R1841"/>
  <c r="S1841" s="1"/>
  <c r="R1837"/>
  <c r="S1837" s="1"/>
  <c r="R1833"/>
  <c r="S1833" s="1"/>
  <c r="R1829"/>
  <c r="S1829" s="1"/>
  <c r="R1825"/>
  <c r="S1825" s="1"/>
  <c r="R1821"/>
  <c r="S1821" s="1"/>
  <c r="R1817"/>
  <c r="S1817" s="1"/>
  <c r="R1813"/>
  <c r="S1813" s="1"/>
  <c r="R1809"/>
  <c r="S1809" s="1"/>
  <c r="R1805"/>
  <c r="S1805" s="1"/>
  <c r="R1800"/>
  <c r="S1800" s="1"/>
  <c r="R1792"/>
  <c r="S1792" s="1"/>
  <c r="R1929"/>
  <c r="S1929" s="1"/>
  <c r="R1801"/>
  <c r="S1801" s="1"/>
  <c r="R1793"/>
  <c r="S1793" s="1"/>
  <c r="R1788"/>
  <c r="S1788" s="1"/>
  <c r="R1782"/>
  <c r="S1782" s="1"/>
  <c r="R1866"/>
  <c r="S1866" s="1"/>
  <c r="R1842"/>
  <c r="S1842" s="1"/>
  <c r="R1834"/>
  <c r="S1834" s="1"/>
  <c r="R1846"/>
  <c r="S1846" s="1"/>
  <c r="R1838"/>
  <c r="S1838" s="1"/>
  <c r="R1783"/>
  <c r="S1783" s="1"/>
  <c r="R1850"/>
  <c r="S1850" s="1"/>
  <c r="R1858"/>
  <c r="S1858" s="1"/>
  <c r="R1830"/>
  <c r="S1830" s="1"/>
  <c r="R1826"/>
  <c r="S1826" s="1"/>
  <c r="R1822"/>
  <c r="S1822" s="1"/>
  <c r="R1818"/>
  <c r="S1818" s="1"/>
  <c r="R300"/>
  <c r="S300" s="1"/>
  <c r="R294"/>
  <c r="S294" s="1"/>
  <c r="R288"/>
  <c r="S288" s="1"/>
  <c r="R1890"/>
  <c r="S1890" s="1"/>
  <c r="R1889"/>
  <c r="S1889" s="1"/>
  <c r="R1888"/>
  <c r="S1888" s="1"/>
  <c r="R330"/>
  <c r="S330" s="1"/>
  <c r="R318"/>
  <c r="S318" s="1"/>
  <c r="R1914"/>
  <c r="S1914" s="1"/>
  <c r="R1912"/>
  <c r="S1912" s="1"/>
  <c r="R1913"/>
  <c r="S1913" s="1"/>
  <c r="R354"/>
  <c r="S354" s="1"/>
  <c r="R1918"/>
  <c r="S1918" s="1"/>
  <c r="R1916"/>
  <c r="S1916" s="1"/>
  <c r="R1917"/>
  <c r="S1917" s="1"/>
  <c r="R297"/>
  <c r="S297" s="1"/>
  <c r="R333"/>
  <c r="S333" s="1"/>
  <c r="R335"/>
  <c r="S335" s="1"/>
  <c r="S331"/>
  <c r="R334"/>
  <c r="S334" s="1"/>
  <c r="S138"/>
  <c r="S150"/>
  <c r="R296"/>
  <c r="S296" s="1"/>
  <c r="R306"/>
  <c r="S306" s="1"/>
  <c r="R338"/>
  <c r="S338" s="1"/>
  <c r="R339"/>
  <c r="S339" s="1"/>
  <c r="R341"/>
  <c r="S341" s="1"/>
  <c r="S337"/>
  <c r="H367"/>
  <c r="J367" s="1"/>
  <c r="R255"/>
  <c r="S255" s="1"/>
  <c r="R260"/>
  <c r="S260" s="1"/>
  <c r="R276"/>
  <c r="S276" s="1"/>
  <c r="R282"/>
  <c r="S282" s="1"/>
  <c r="S304"/>
  <c r="R309"/>
  <c r="S309" s="1"/>
  <c r="R320"/>
  <c r="S320" s="1"/>
  <c r="H427"/>
  <c r="J427" s="1"/>
  <c r="R152"/>
  <c r="S152" s="1"/>
  <c r="S228"/>
  <c r="R291"/>
  <c r="S291" s="1"/>
  <c r="R308"/>
  <c r="S308" s="1"/>
  <c r="R364"/>
  <c r="S364" s="1"/>
  <c r="R411"/>
  <c r="S411" s="1"/>
  <c r="R424"/>
  <c r="S424" s="1"/>
  <c r="R617"/>
  <c r="S617" s="1"/>
  <c r="S613"/>
  <c r="R614"/>
  <c r="S614" s="1"/>
  <c r="R616"/>
  <c r="S616" s="1"/>
  <c r="S343"/>
  <c r="R346"/>
  <c r="S346" s="1"/>
  <c r="S361"/>
  <c r="R401"/>
  <c r="S401" s="1"/>
  <c r="S397"/>
  <c r="R404"/>
  <c r="S404" s="1"/>
  <c r="S421"/>
  <c r="R541"/>
  <c r="S541" s="1"/>
  <c r="H562"/>
  <c r="J562" s="1"/>
  <c r="H613"/>
  <c r="J613" s="1"/>
  <c r="S727"/>
  <c r="R380"/>
  <c r="S380" s="1"/>
  <c r="R410"/>
  <c r="S410" s="1"/>
  <c r="R413"/>
  <c r="S413" s="1"/>
  <c r="R490"/>
  <c r="S490" s="1"/>
  <c r="R488"/>
  <c r="S488" s="1"/>
  <c r="P2665"/>
  <c r="S529"/>
  <c r="R587"/>
  <c r="S587" s="1"/>
  <c r="S589"/>
  <c r="R591"/>
  <c r="S591" s="1"/>
  <c r="R592"/>
  <c r="S592" s="1"/>
  <c r="R593"/>
  <c r="S593" s="1"/>
  <c r="S595"/>
  <c r="R597"/>
  <c r="S597" s="1"/>
  <c r="R598"/>
  <c r="S598" s="1"/>
  <c r="R599"/>
  <c r="S599" s="1"/>
  <c r="S601"/>
  <c r="R603"/>
  <c r="S603" s="1"/>
  <c r="R604"/>
  <c r="S604" s="1"/>
  <c r="R605"/>
  <c r="S605" s="1"/>
  <c r="R611"/>
  <c r="S611" s="1"/>
  <c r="S607"/>
  <c r="R608"/>
  <c r="S608" s="1"/>
  <c r="R610"/>
  <c r="S610" s="1"/>
  <c r="R389"/>
  <c r="S389" s="1"/>
  <c r="S385"/>
  <c r="R388"/>
  <c r="S388" s="1"/>
  <c r="R405"/>
  <c r="S405" s="1"/>
  <c r="R406"/>
  <c r="S406" s="1"/>
  <c r="R423"/>
  <c r="S423" s="1"/>
  <c r="R447"/>
  <c r="S447" s="1"/>
  <c r="S497"/>
  <c r="R500"/>
  <c r="S500" s="1"/>
  <c r="H589"/>
  <c r="J589" s="1"/>
  <c r="H595"/>
  <c r="J595" s="1"/>
  <c r="H601"/>
  <c r="J601" s="1"/>
  <c r="H607"/>
  <c r="J607" s="1"/>
  <c r="R615"/>
  <c r="S615" s="1"/>
  <c r="R628"/>
  <c r="S628" s="1"/>
  <c r="R629"/>
  <c r="S629" s="1"/>
  <c r="R627"/>
  <c r="S627" s="1"/>
  <c r="R383"/>
  <c r="S383" s="1"/>
  <c r="R387"/>
  <c r="S387" s="1"/>
  <c r="H403"/>
  <c r="J403" s="1"/>
  <c r="S409"/>
  <c r="R416"/>
  <c r="S416" s="1"/>
  <c r="R417"/>
  <c r="S417" s="1"/>
  <c r="R418"/>
  <c r="S418" s="1"/>
  <c r="S625"/>
  <c r="R344"/>
  <c r="S344" s="1"/>
  <c r="R362"/>
  <c r="S362" s="1"/>
  <c r="R422"/>
  <c r="S422" s="1"/>
  <c r="R551"/>
  <c r="S551" s="1"/>
  <c r="R552"/>
  <c r="S552" s="1"/>
  <c r="R553"/>
  <c r="S553" s="1"/>
  <c r="R623"/>
  <c r="S623" s="1"/>
  <c r="S619"/>
  <c r="R620"/>
  <c r="S620" s="1"/>
  <c r="R622"/>
  <c r="S622" s="1"/>
  <c r="R377"/>
  <c r="S377" s="1"/>
  <c r="H415"/>
  <c r="J415" s="1"/>
  <c r="R437"/>
  <c r="S437" s="1"/>
  <c r="S433"/>
  <c r="R436"/>
  <c r="S436" s="1"/>
  <c r="R493"/>
  <c r="S493" s="1"/>
  <c r="R498"/>
  <c r="S498" s="1"/>
  <c r="H619"/>
  <c r="J619" s="1"/>
  <c r="R559"/>
  <c r="S559" s="1"/>
  <c r="R560"/>
  <c r="S560" s="1"/>
  <c r="Q725"/>
  <c r="S726"/>
  <c r="H730"/>
  <c r="J730" s="1"/>
  <c r="R555"/>
  <c r="S555" s="1"/>
  <c r="R556"/>
  <c r="S556" s="1"/>
  <c r="R728"/>
  <c r="S728" s="1"/>
  <c r="P2666"/>
  <c r="S649"/>
  <c r="S786"/>
  <c r="O2666"/>
  <c r="H1654"/>
  <c r="J1654" s="1"/>
  <c r="O2667"/>
  <c r="S1613"/>
  <c r="R1665"/>
  <c r="S1665" s="1"/>
  <c r="R1675"/>
  <c r="S1675" s="1"/>
  <c r="R1761"/>
  <c r="S1761" s="1"/>
  <c r="R1762"/>
  <c r="S1762" s="1"/>
  <c r="S1767"/>
  <c r="R1667"/>
  <c r="S1667" s="1"/>
  <c r="R1677"/>
  <c r="S1677" s="1"/>
  <c r="P2667"/>
  <c r="H1662"/>
  <c r="J1662" s="1"/>
  <c r="H1670"/>
  <c r="J1670" s="1"/>
  <c r="H1760"/>
  <c r="J1760" s="1"/>
  <c r="S1646"/>
  <c r="R1669"/>
  <c r="S1669" s="1"/>
  <c r="R1679"/>
  <c r="S1679" s="1"/>
  <c r="R1680"/>
  <c r="S1680" s="1"/>
  <c r="R1681"/>
  <c r="S1681" s="1"/>
  <c r="Q1645"/>
  <c r="S1666"/>
  <c r="H1674"/>
  <c r="J1674" s="1"/>
  <c r="S1678"/>
  <c r="R1707"/>
  <c r="S1707" s="1"/>
  <c r="S1708"/>
  <c r="R1789"/>
  <c r="S1789" s="1"/>
  <c r="R1790"/>
  <c r="S1790" s="1"/>
  <c r="R1791"/>
  <c r="S1791" s="1"/>
  <c r="H1924"/>
  <c r="J1924" s="1"/>
  <c r="R1937"/>
  <c r="S1937" s="1"/>
  <c r="R1938"/>
  <c r="S1938" s="1"/>
  <c r="R1939"/>
  <c r="S1939" s="1"/>
  <c r="S1936"/>
  <c r="S1763"/>
  <c r="S1775"/>
  <c r="R1774"/>
  <c r="S1774" s="1"/>
  <c r="P2668"/>
  <c r="H1868"/>
  <c r="J1868" s="1"/>
  <c r="H1872"/>
  <c r="J1872" s="1"/>
  <c r="H1876"/>
  <c r="J1876" s="1"/>
  <c r="H1880"/>
  <c r="J1880" s="1"/>
  <c r="H1884"/>
  <c r="J1884" s="1"/>
  <c r="H1888"/>
  <c r="J1888" s="1"/>
  <c r="H1892"/>
  <c r="J1892" s="1"/>
  <c r="H1896"/>
  <c r="J1896" s="1"/>
  <c r="R1941"/>
  <c r="S1941" s="1"/>
  <c r="R1942"/>
  <c r="S1942" s="1"/>
  <c r="R1943"/>
  <c r="S1943" s="1"/>
  <c r="S1940"/>
  <c r="S1741"/>
  <c r="Q1740"/>
  <c r="S18" i="12" s="1"/>
  <c r="H1928" i="21"/>
  <c r="J1928" s="1"/>
  <c r="R1945"/>
  <c r="S1945" s="1"/>
  <c r="R1946"/>
  <c r="S1946" s="1"/>
  <c r="R1947"/>
  <c r="S1947" s="1"/>
  <c r="S1944"/>
  <c r="R1974"/>
  <c r="S1974" s="1"/>
  <c r="S1972"/>
  <c r="R1975"/>
  <c r="S1975" s="1"/>
  <c r="R2022"/>
  <c r="S2022" s="1"/>
  <c r="S2020"/>
  <c r="R2021"/>
  <c r="S2021" s="1"/>
  <c r="S1948"/>
  <c r="S1952"/>
  <c r="S1956"/>
  <c r="S1960"/>
  <c r="R1963"/>
  <c r="S1963" s="1"/>
  <c r="H1972"/>
  <c r="J1972" s="1"/>
  <c r="R1994"/>
  <c r="S1994" s="1"/>
  <c r="S1992"/>
  <c r="R1995"/>
  <c r="S1995" s="1"/>
  <c r="R2038"/>
  <c r="S2038" s="1"/>
  <c r="S2036"/>
  <c r="R2037"/>
  <c r="S2037" s="1"/>
  <c r="R2054"/>
  <c r="S2054" s="1"/>
  <c r="S2052"/>
  <c r="R2053"/>
  <c r="S2053" s="1"/>
  <c r="H2129"/>
  <c r="J2129" s="1"/>
  <c r="R1951"/>
  <c r="S1951" s="1"/>
  <c r="R1955"/>
  <c r="S1955" s="1"/>
  <c r="R1959"/>
  <c r="S1959" s="1"/>
  <c r="R1982"/>
  <c r="S1982" s="1"/>
  <c r="S1980"/>
  <c r="R1983"/>
  <c r="S1983" s="1"/>
  <c r="H1992"/>
  <c r="J1992" s="1"/>
  <c r="R2010"/>
  <c r="S2010" s="1"/>
  <c r="S2008"/>
  <c r="R2009"/>
  <c r="S2009" s="1"/>
  <c r="R2026"/>
  <c r="S2026" s="1"/>
  <c r="S2024"/>
  <c r="R2025"/>
  <c r="S2025" s="1"/>
  <c r="H2165"/>
  <c r="J2165" s="1"/>
  <c r="R1970"/>
  <c r="S1970" s="1"/>
  <c r="S1968"/>
  <c r="R1971"/>
  <c r="S1971" s="1"/>
  <c r="R2002"/>
  <c r="S2002" s="1"/>
  <c r="S2000"/>
  <c r="R2003"/>
  <c r="S2003" s="1"/>
  <c r="H2008"/>
  <c r="J2008" s="1"/>
  <c r="H2024"/>
  <c r="J2024" s="1"/>
  <c r="R2042"/>
  <c r="S2042" s="1"/>
  <c r="S2040"/>
  <c r="R2041"/>
  <c r="S2041" s="1"/>
  <c r="S2056"/>
  <c r="R2058"/>
  <c r="S2058" s="1"/>
  <c r="R2080"/>
  <c r="S2080" s="1"/>
  <c r="R2081"/>
  <c r="S2081" s="1"/>
  <c r="R2084"/>
  <c r="S2084" s="1"/>
  <c r="R2085"/>
  <c r="S2085" s="1"/>
  <c r="S2083"/>
  <c r="S2097"/>
  <c r="R2099"/>
  <c r="S2099" s="1"/>
  <c r="R2100"/>
  <c r="S2100" s="1"/>
  <c r="R2101"/>
  <c r="S2101" s="1"/>
  <c r="R1950"/>
  <c r="S1950" s="1"/>
  <c r="R1954"/>
  <c r="S1954" s="1"/>
  <c r="R1958"/>
  <c r="S1958" s="1"/>
  <c r="R1990"/>
  <c r="S1990" s="1"/>
  <c r="S1988"/>
  <c r="R1991"/>
  <c r="S1991" s="1"/>
  <c r="R2014"/>
  <c r="S2014" s="1"/>
  <c r="S2012"/>
  <c r="R2013"/>
  <c r="S2013" s="1"/>
  <c r="H2083"/>
  <c r="J2083" s="1"/>
  <c r="R1973"/>
  <c r="S1973" s="1"/>
  <c r="R1978"/>
  <c r="S1978" s="1"/>
  <c r="S1976"/>
  <c r="R1979"/>
  <c r="S1979" s="1"/>
  <c r="H1988"/>
  <c r="J1988" s="1"/>
  <c r="H2012"/>
  <c r="J2012" s="1"/>
  <c r="R2046"/>
  <c r="S2046" s="1"/>
  <c r="S2044"/>
  <c r="R2045"/>
  <c r="S2045" s="1"/>
  <c r="R2102"/>
  <c r="S2102" s="1"/>
  <c r="H2123"/>
  <c r="J2123" s="1"/>
  <c r="R1961"/>
  <c r="S1961" s="1"/>
  <c r="R1966"/>
  <c r="S1966" s="1"/>
  <c r="S1964"/>
  <c r="R1967"/>
  <c r="S1967" s="1"/>
  <c r="H1976"/>
  <c r="J1976" s="1"/>
  <c r="R1993"/>
  <c r="S1993" s="1"/>
  <c r="R1998"/>
  <c r="S1998" s="1"/>
  <c r="S1996"/>
  <c r="R1999"/>
  <c r="S1999" s="1"/>
  <c r="R2018"/>
  <c r="S2018" s="1"/>
  <c r="S2016"/>
  <c r="R2017"/>
  <c r="S2017" s="1"/>
  <c r="H2028"/>
  <c r="J2028" s="1"/>
  <c r="H2044"/>
  <c r="J2044" s="1"/>
  <c r="R2059"/>
  <c r="S2059" s="1"/>
  <c r="H1964"/>
  <c r="J1964" s="1"/>
  <c r="R1981"/>
  <c r="S1981" s="1"/>
  <c r="R1986"/>
  <c r="S1986" s="1"/>
  <c r="S1984"/>
  <c r="R1987"/>
  <c r="S1987" s="1"/>
  <c r="H1996"/>
  <c r="J1996" s="1"/>
  <c r="R2006"/>
  <c r="S2006" s="1"/>
  <c r="S2004"/>
  <c r="R2007"/>
  <c r="S2007" s="1"/>
  <c r="H2016"/>
  <c r="J2016" s="1"/>
  <c r="R2023"/>
  <c r="S2023" s="1"/>
  <c r="R2034"/>
  <c r="S2034" s="1"/>
  <c r="S2032"/>
  <c r="R2033"/>
  <c r="S2033" s="1"/>
  <c r="R2050"/>
  <c r="S2050" s="1"/>
  <c r="S2048"/>
  <c r="R2049"/>
  <c r="S2049" s="1"/>
  <c r="R2082"/>
  <c r="S2082" s="1"/>
  <c r="R2087"/>
  <c r="S2087" s="1"/>
  <c r="S2103"/>
  <c r="R2131"/>
  <c r="S2131" s="1"/>
  <c r="R2139"/>
  <c r="S2139" s="1"/>
  <c r="J2153"/>
  <c r="R2166"/>
  <c r="S2166" s="1"/>
  <c r="S2190"/>
  <c r="H2219"/>
  <c r="J2219" s="1"/>
  <c r="H2279"/>
  <c r="J2279" s="1"/>
  <c r="H2297"/>
  <c r="J2297" s="1"/>
  <c r="R2106"/>
  <c r="S2106" s="1"/>
  <c r="R2122"/>
  <c r="S2122" s="1"/>
  <c r="R2130"/>
  <c r="S2130" s="1"/>
  <c r="R2138"/>
  <c r="S2138" s="1"/>
  <c r="R2184"/>
  <c r="S2184" s="1"/>
  <c r="R2185"/>
  <c r="S2185" s="1"/>
  <c r="R2188"/>
  <c r="S2188" s="1"/>
  <c r="R2186"/>
  <c r="S2186" s="1"/>
  <c r="R2176"/>
  <c r="S2176" s="1"/>
  <c r="R2172"/>
  <c r="S2172" s="1"/>
  <c r="R2061"/>
  <c r="S2061" s="1"/>
  <c r="R2065"/>
  <c r="S2065" s="1"/>
  <c r="R2069"/>
  <c r="S2069" s="1"/>
  <c r="R2089"/>
  <c r="S2089" s="1"/>
  <c r="R2105"/>
  <c r="S2105" s="1"/>
  <c r="R2109"/>
  <c r="S2109" s="1"/>
  <c r="R2121"/>
  <c r="S2121" s="1"/>
  <c r="R2128"/>
  <c r="S2128" s="1"/>
  <c r="S2129"/>
  <c r="R2136"/>
  <c r="S2136" s="1"/>
  <c r="R2152"/>
  <c r="S2152" s="1"/>
  <c r="S2171"/>
  <c r="R2175"/>
  <c r="S2175" s="1"/>
  <c r="H2183"/>
  <c r="J2183" s="1"/>
  <c r="R2200"/>
  <c r="S2200" s="1"/>
  <c r="R2196"/>
  <c r="S2196" s="1"/>
  <c r="R2197"/>
  <c r="S2197" s="1"/>
  <c r="R2198"/>
  <c r="S2198" s="1"/>
  <c r="S2214"/>
  <c r="J2231"/>
  <c r="R2248"/>
  <c r="S2248" s="1"/>
  <c r="S2243"/>
  <c r="R2244"/>
  <c r="S2244" s="1"/>
  <c r="R2245"/>
  <c r="S2245" s="1"/>
  <c r="H2261"/>
  <c r="J2261" s="1"/>
  <c r="H2315"/>
  <c r="J2315" s="1"/>
  <c r="R2170"/>
  <c r="S2170" s="1"/>
  <c r="H2171"/>
  <c r="J2171" s="1"/>
  <c r="R2174"/>
  <c r="S2174" s="1"/>
  <c r="R2208"/>
  <c r="S2208" s="1"/>
  <c r="R2209"/>
  <c r="S2209" s="1"/>
  <c r="R2212"/>
  <c r="S2212" s="1"/>
  <c r="R2210"/>
  <c r="S2210" s="1"/>
  <c r="H2237"/>
  <c r="J2237" s="1"/>
  <c r="H2243"/>
  <c r="J2243" s="1"/>
  <c r="R2072"/>
  <c r="S2072" s="1"/>
  <c r="R2092"/>
  <c r="S2092" s="1"/>
  <c r="R2104"/>
  <c r="S2104" s="1"/>
  <c r="R2112"/>
  <c r="S2112" s="1"/>
  <c r="R2126"/>
  <c r="S2126" s="1"/>
  <c r="R2134"/>
  <c r="S2134" s="1"/>
  <c r="S2135"/>
  <c r="R2150"/>
  <c r="S2150" s="1"/>
  <c r="R2169"/>
  <c r="S2169" s="1"/>
  <c r="H2195"/>
  <c r="J2195" s="1"/>
  <c r="S2207"/>
  <c r="S2226"/>
  <c r="R2232"/>
  <c r="S2232" s="1"/>
  <c r="R2233"/>
  <c r="S2233" s="1"/>
  <c r="R2234"/>
  <c r="S2234" s="1"/>
  <c r="R2236"/>
  <c r="S2236" s="1"/>
  <c r="R2256"/>
  <c r="S2256" s="1"/>
  <c r="R2257"/>
  <c r="S2257" s="1"/>
  <c r="R2258"/>
  <c r="S2258" s="1"/>
  <c r="R2259"/>
  <c r="S2259" s="1"/>
  <c r="R2260"/>
  <c r="S2260" s="1"/>
  <c r="H2309"/>
  <c r="J2309" s="1"/>
  <c r="R2133"/>
  <c r="S2133" s="1"/>
  <c r="R2173"/>
  <c r="S2173" s="1"/>
  <c r="S2177"/>
  <c r="R2180"/>
  <c r="S2180" s="1"/>
  <c r="R2181"/>
  <c r="S2181" s="1"/>
  <c r="H2207"/>
  <c r="J2207" s="1"/>
  <c r="R2224"/>
  <c r="S2224" s="1"/>
  <c r="R2220"/>
  <c r="S2220" s="1"/>
  <c r="R2221"/>
  <c r="S2221" s="1"/>
  <c r="R2222"/>
  <c r="S2222" s="1"/>
  <c r="S2231"/>
  <c r="S2255"/>
  <c r="J2267"/>
  <c r="H2291"/>
  <c r="J2291" s="1"/>
  <c r="R2205"/>
  <c r="S2205" s="1"/>
  <c r="R2229"/>
  <c r="S2229" s="1"/>
  <c r="R2253"/>
  <c r="S2253" s="1"/>
  <c r="R2269"/>
  <c r="S2269" s="1"/>
  <c r="R2277"/>
  <c r="S2277" s="1"/>
  <c r="R2293"/>
  <c r="S2293" s="1"/>
  <c r="R2301"/>
  <c r="S2301" s="1"/>
  <c r="R2317"/>
  <c r="S2317" s="1"/>
  <c r="R2325"/>
  <c r="S2325" s="1"/>
  <c r="R2338"/>
  <c r="S2338" s="1"/>
  <c r="R2364"/>
  <c r="S2364" s="1"/>
  <c r="H2453"/>
  <c r="J2453" s="1"/>
  <c r="S2189"/>
  <c r="R2204"/>
  <c r="S2204" s="1"/>
  <c r="S2213"/>
  <c r="R2228"/>
  <c r="S2228" s="1"/>
  <c r="S2237"/>
  <c r="R2252"/>
  <c r="S2252" s="1"/>
  <c r="R2268"/>
  <c r="S2268" s="1"/>
  <c r="R2276"/>
  <c r="S2276" s="1"/>
  <c r="R2284"/>
  <c r="S2284" s="1"/>
  <c r="R2292"/>
  <c r="S2292" s="1"/>
  <c r="R2300"/>
  <c r="S2300" s="1"/>
  <c r="R2308"/>
  <c r="S2308" s="1"/>
  <c r="R2316"/>
  <c r="S2316" s="1"/>
  <c r="R2324"/>
  <c r="S2324" s="1"/>
  <c r="R2332"/>
  <c r="S2332" s="1"/>
  <c r="R2343"/>
  <c r="S2343" s="1"/>
  <c r="S2351"/>
  <c r="R2353"/>
  <c r="S2353" s="1"/>
  <c r="R2355"/>
  <c r="S2355" s="1"/>
  <c r="R2365"/>
  <c r="S2365" s="1"/>
  <c r="R2366"/>
  <c r="S2366" s="1"/>
  <c r="R2368"/>
  <c r="S2368" s="1"/>
  <c r="H2417"/>
  <c r="J2417" s="1"/>
  <c r="R2283"/>
  <c r="S2283" s="1"/>
  <c r="R2307"/>
  <c r="S2307" s="1"/>
  <c r="R2331"/>
  <c r="S2331" s="1"/>
  <c r="J2255"/>
  <c r="S2267"/>
  <c r="R2282"/>
  <c r="S2282" s="1"/>
  <c r="S2291"/>
  <c r="R2306"/>
  <c r="S2306" s="1"/>
  <c r="S2315"/>
  <c r="J2327"/>
  <c r="R2330"/>
  <c r="S2330" s="1"/>
  <c r="J2339"/>
  <c r="S2359"/>
  <c r="H2405"/>
  <c r="J2405" s="1"/>
  <c r="H2429"/>
  <c r="J2429" s="1"/>
  <c r="H2447"/>
  <c r="J2447" s="1"/>
  <c r="R2281"/>
  <c r="S2281" s="1"/>
  <c r="R2305"/>
  <c r="S2305" s="1"/>
  <c r="R2329"/>
  <c r="S2329" s="1"/>
  <c r="R2341"/>
  <c r="S2341" s="1"/>
  <c r="H2369"/>
  <c r="J2369" s="1"/>
  <c r="S2375"/>
  <c r="R2376"/>
  <c r="S2376" s="1"/>
  <c r="R2377"/>
  <c r="S2377" s="1"/>
  <c r="R2379"/>
  <c r="S2379" s="1"/>
  <c r="R2378"/>
  <c r="S2378" s="1"/>
  <c r="R2304"/>
  <c r="S2304" s="1"/>
  <c r="R2340"/>
  <c r="S2340" s="1"/>
  <c r="R2349"/>
  <c r="S2349" s="1"/>
  <c r="R2350"/>
  <c r="S2350" s="1"/>
  <c r="S2362"/>
  <c r="H2345"/>
  <c r="J2345" s="1"/>
  <c r="H2471"/>
  <c r="J2471" s="1"/>
  <c r="R2490"/>
  <c r="S2490" s="1"/>
  <c r="R2492"/>
  <c r="S2492" s="1"/>
  <c r="R2494"/>
  <c r="S2494" s="1"/>
  <c r="R2493"/>
  <c r="S2493" s="1"/>
  <c r="J2507"/>
  <c r="P2669"/>
  <c r="R2403"/>
  <c r="S2403" s="1"/>
  <c r="R2427"/>
  <c r="S2427" s="1"/>
  <c r="R2451"/>
  <c r="S2451" s="1"/>
  <c r="R2470"/>
  <c r="S2470" s="1"/>
  <c r="S2489"/>
  <c r="R2498"/>
  <c r="S2498" s="1"/>
  <c r="R2499"/>
  <c r="S2499" s="1"/>
  <c r="R2500"/>
  <c r="S2500" s="1"/>
  <c r="S2495"/>
  <c r="H2513"/>
  <c r="J2513" s="1"/>
  <c r="H2489"/>
  <c r="J2489" s="1"/>
  <c r="R2361"/>
  <c r="S2361" s="1"/>
  <c r="R2401"/>
  <c r="S2401" s="1"/>
  <c r="R2425"/>
  <c r="S2425" s="1"/>
  <c r="R2449"/>
  <c r="S2449" s="1"/>
  <c r="R2464"/>
  <c r="S2464" s="1"/>
  <c r="R2482"/>
  <c r="S2482" s="1"/>
  <c r="S2477"/>
  <c r="H2501"/>
  <c r="J2501" s="1"/>
  <c r="R2392"/>
  <c r="S2392" s="1"/>
  <c r="R2400"/>
  <c r="S2400" s="1"/>
  <c r="R2416"/>
  <c r="S2416" s="1"/>
  <c r="R2424"/>
  <c r="S2424" s="1"/>
  <c r="R2440"/>
  <c r="S2440" s="1"/>
  <c r="R2448"/>
  <c r="S2448" s="1"/>
  <c r="R2469"/>
  <c r="S2469" s="1"/>
  <c r="H2477"/>
  <c r="J2477" s="1"/>
  <c r="J2483"/>
  <c r="R2491"/>
  <c r="S2491" s="1"/>
  <c r="R2522"/>
  <c r="S2522" s="1"/>
  <c r="R2523"/>
  <c r="S2523" s="1"/>
  <c r="R2524"/>
  <c r="S2524" s="1"/>
  <c r="S2519"/>
  <c r="R2415"/>
  <c r="S2415" s="1"/>
  <c r="R2439"/>
  <c r="S2439" s="1"/>
  <c r="R2463"/>
  <c r="S2463" s="1"/>
  <c r="R2497"/>
  <c r="S2497" s="1"/>
  <c r="H2519"/>
  <c r="J2519" s="1"/>
  <c r="R2374"/>
  <c r="S2374" s="1"/>
  <c r="J2387"/>
  <c r="R2390"/>
  <c r="S2390" s="1"/>
  <c r="R2398"/>
  <c r="S2398" s="1"/>
  <c r="J2411"/>
  <c r="R2414"/>
  <c r="S2414" s="1"/>
  <c r="J2435"/>
  <c r="R2438"/>
  <c r="S2438" s="1"/>
  <c r="R2462"/>
  <c r="S2462" s="1"/>
  <c r="J2465"/>
  <c r="R2474"/>
  <c r="S2474" s="1"/>
  <c r="R2476"/>
  <c r="S2476" s="1"/>
  <c r="S2487"/>
  <c r="J2495"/>
  <c r="R2496"/>
  <c r="S2496" s="1"/>
  <c r="R2467"/>
  <c r="S2467" s="1"/>
  <c r="S2471"/>
  <c r="R2479"/>
  <c r="S2479" s="1"/>
  <c r="S2483"/>
  <c r="R2484"/>
  <c r="S2484" s="1"/>
  <c r="R2486"/>
  <c r="S2486" s="1"/>
  <c r="R2514"/>
  <c r="S2514" s="1"/>
  <c r="R2515"/>
  <c r="S2515" s="1"/>
  <c r="R2516"/>
  <c r="S2516" s="1"/>
  <c r="R2517"/>
  <c r="S2517" s="1"/>
  <c r="R2518"/>
  <c r="S2518" s="1"/>
  <c r="R2521"/>
  <c r="S2521" s="1"/>
  <c r="R2502"/>
  <c r="S2502" s="1"/>
  <c r="R2510"/>
  <c r="S2510" s="1"/>
  <c r="R2509"/>
  <c r="S2509" s="1"/>
  <c r="S2586"/>
  <c r="S2618"/>
  <c r="S2501"/>
  <c r="R2508"/>
  <c r="S2508" s="1"/>
  <c r="R2526"/>
  <c r="S2526" s="1"/>
  <c r="R2527"/>
  <c r="S2527" s="1"/>
  <c r="R2528"/>
  <c r="S2528" s="1"/>
  <c r="R2529"/>
  <c r="S2529" s="1"/>
  <c r="R2532"/>
  <c r="S2532" s="1"/>
  <c r="R2533"/>
  <c r="S2533" s="1"/>
  <c r="R2534"/>
  <c r="S2534" s="1"/>
  <c r="R2535"/>
  <c r="S2535" s="1"/>
  <c r="R2538"/>
  <c r="S2538" s="1"/>
  <c r="R2539"/>
  <c r="S2539" s="1"/>
  <c r="R2540"/>
  <c r="S2540" s="1"/>
  <c r="R2541"/>
  <c r="S2541" s="1"/>
  <c r="R2544"/>
  <c r="S2544" s="1"/>
  <c r="R2545"/>
  <c r="S2545" s="1"/>
  <c r="R2546"/>
  <c r="S2546" s="1"/>
  <c r="R2547"/>
  <c r="S2547" s="1"/>
  <c r="R2550"/>
  <c r="S2550" s="1"/>
  <c r="R2551"/>
  <c r="S2551" s="1"/>
  <c r="R2552"/>
  <c r="S2552" s="1"/>
  <c r="R2553"/>
  <c r="S2553" s="1"/>
  <c r="R2556"/>
  <c r="S2556" s="1"/>
  <c r="R2557"/>
  <c r="S2557" s="1"/>
  <c r="R2558"/>
  <c r="S2558" s="1"/>
  <c r="R2559"/>
  <c r="S2559" s="1"/>
  <c r="R2562"/>
  <c r="S2562" s="1"/>
  <c r="R2563"/>
  <c r="S2563" s="1"/>
  <c r="R2564"/>
  <c r="S2564" s="1"/>
  <c r="R2565"/>
  <c r="S2565" s="1"/>
  <c r="R2568"/>
  <c r="S2568" s="1"/>
  <c r="R2569"/>
  <c r="S2569" s="1"/>
  <c r="R2570"/>
  <c r="S2570" s="1"/>
  <c r="R2571"/>
  <c r="S2571" s="1"/>
  <c r="R2574"/>
  <c r="S2574" s="1"/>
  <c r="R2575"/>
  <c r="S2575" s="1"/>
  <c r="R2576"/>
  <c r="S2576" s="1"/>
  <c r="R2577"/>
  <c r="S2577" s="1"/>
  <c r="R2580"/>
  <c r="S2580" s="1"/>
  <c r="R2581"/>
  <c r="S2581" s="1"/>
  <c r="R2582"/>
  <c r="S2582" s="1"/>
  <c r="R2583"/>
  <c r="S2583" s="1"/>
  <c r="Q2617"/>
  <c r="G2526"/>
  <c r="H2526" s="1"/>
  <c r="G2527"/>
  <c r="H2527" s="1"/>
  <c r="G2528"/>
  <c r="H2528" s="1"/>
  <c r="G2529"/>
  <c r="H2529" s="1"/>
  <c r="G2532"/>
  <c r="H2532" s="1"/>
  <c r="G2533"/>
  <c r="H2533" s="1"/>
  <c r="G2534"/>
  <c r="H2534" s="1"/>
  <c r="G2535"/>
  <c r="H2535" s="1"/>
  <c r="G2538"/>
  <c r="H2538" s="1"/>
  <c r="G2539"/>
  <c r="H2539" s="1"/>
  <c r="G2540"/>
  <c r="H2540" s="1"/>
  <c r="G2541"/>
  <c r="H2541" s="1"/>
  <c r="G2544"/>
  <c r="H2544" s="1"/>
  <c r="G2545"/>
  <c r="H2545" s="1"/>
  <c r="G2546"/>
  <c r="H2546" s="1"/>
  <c r="G2547"/>
  <c r="H2547" s="1"/>
  <c r="G2550"/>
  <c r="H2550" s="1"/>
  <c r="G2551"/>
  <c r="H2551" s="1"/>
  <c r="G2552"/>
  <c r="H2552" s="1"/>
  <c r="G2553"/>
  <c r="H2553" s="1"/>
  <c r="G2556"/>
  <c r="H2556" s="1"/>
  <c r="G2557"/>
  <c r="H2557" s="1"/>
  <c r="G2558"/>
  <c r="H2558" s="1"/>
  <c r="G2559"/>
  <c r="H2559" s="1"/>
  <c r="G2562"/>
  <c r="H2562" s="1"/>
  <c r="G2563"/>
  <c r="H2563" s="1"/>
  <c r="G2564"/>
  <c r="H2564" s="1"/>
  <c r="G2565"/>
  <c r="H2565" s="1"/>
  <c r="G2568"/>
  <c r="H2568" s="1"/>
  <c r="G2569"/>
  <c r="H2569" s="1"/>
  <c r="G2570"/>
  <c r="H2570" s="1"/>
  <c r="G2571"/>
  <c r="H2571" s="1"/>
  <c r="G2574"/>
  <c r="H2574" s="1"/>
  <c r="G2575"/>
  <c r="H2575" s="1"/>
  <c r="G2576"/>
  <c r="H2576" s="1"/>
  <c r="G2577"/>
  <c r="H2577" s="1"/>
  <c r="G2580"/>
  <c r="H2580" s="1"/>
  <c r="G2581"/>
  <c r="H2581" s="1"/>
  <c r="G2582"/>
  <c r="H2582" s="1"/>
  <c r="G2583"/>
  <c r="H2583" s="1"/>
  <c r="R528" l="1"/>
  <c r="S528" s="1"/>
  <c r="R473"/>
  <c r="S473" s="1"/>
  <c r="S13" i="12"/>
  <c r="R68" i="21"/>
  <c r="S68" s="1"/>
  <c r="R223"/>
  <c r="S223" s="1"/>
  <c r="R113"/>
  <c r="S113" s="1"/>
  <c r="R725"/>
  <c r="S725" s="1"/>
  <c r="R18"/>
  <c r="S18" s="1"/>
  <c r="R785"/>
  <c r="S785" s="1"/>
  <c r="H2573"/>
  <c r="J2573" s="1"/>
  <c r="H2561"/>
  <c r="J2561" s="1"/>
  <c r="H2549"/>
  <c r="J2549" s="1"/>
  <c r="H2537"/>
  <c r="J2537" s="1"/>
  <c r="H2525"/>
  <c r="J2525" s="1"/>
  <c r="Q2665"/>
  <c r="Q2667"/>
  <c r="R1645"/>
  <c r="S1645" s="1"/>
  <c r="Q2669"/>
  <c r="R2617"/>
  <c r="S2617" s="1"/>
  <c r="Q2663"/>
  <c r="H2579"/>
  <c r="J2579" s="1"/>
  <c r="H2567"/>
  <c r="J2567" s="1"/>
  <c r="H2555"/>
  <c r="J2555" s="1"/>
  <c r="H2543"/>
  <c r="J2543" s="1"/>
  <c r="H2531"/>
  <c r="J2531" s="1"/>
  <c r="Q2673"/>
  <c r="Q2668"/>
  <c r="R1740"/>
  <c r="S1740" s="1"/>
  <c r="Q2664"/>
  <c r="J4" i="17" l="1"/>
  <c r="J5"/>
  <c r="J6"/>
  <c r="J7"/>
  <c r="J8"/>
  <c r="J9"/>
  <c r="J10"/>
  <c r="J11"/>
  <c r="J12"/>
  <c r="J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38"/>
  <c r="J39"/>
  <c r="J40"/>
  <c r="J41"/>
  <c r="J42"/>
  <c r="J43"/>
  <c r="J44"/>
  <c r="J45"/>
  <c r="J46"/>
  <c r="J47"/>
  <c r="J48"/>
  <c r="J49"/>
  <c r="J50"/>
  <c r="J51"/>
  <c r="J52"/>
  <c r="J53"/>
  <c r="J54"/>
  <c r="J55"/>
  <c r="J56"/>
  <c r="J57"/>
  <c r="J58"/>
  <c r="J59"/>
  <c r="J60"/>
  <c r="J61"/>
  <c r="J62"/>
  <c r="J63"/>
  <c r="J64"/>
  <c r="J65"/>
  <c r="J66"/>
  <c r="J67"/>
  <c r="J68"/>
  <c r="J69"/>
  <c r="J70"/>
  <c r="J71"/>
  <c r="J72"/>
  <c r="J73"/>
  <c r="J74"/>
  <c r="J75"/>
  <c r="J76"/>
  <c r="J77"/>
  <c r="J78"/>
  <c r="J79"/>
  <c r="J80"/>
  <c r="J81"/>
  <c r="J82"/>
  <c r="J3"/>
  <c r="L82"/>
  <c r="H82"/>
  <c r="G82"/>
  <c r="F82"/>
  <c r="E82"/>
  <c r="L81"/>
  <c r="H81"/>
  <c r="G81"/>
  <c r="F81"/>
  <c r="E81"/>
  <c r="L80"/>
  <c r="H80"/>
  <c r="G80"/>
  <c r="F80"/>
  <c r="E80"/>
  <c r="L79"/>
  <c r="H79"/>
  <c r="G79"/>
  <c r="F79"/>
  <c r="E79"/>
  <c r="L78"/>
  <c r="H78"/>
  <c r="G78"/>
  <c r="F78"/>
  <c r="E78"/>
  <c r="L77"/>
  <c r="H77"/>
  <c r="G77"/>
  <c r="F77"/>
  <c r="E77"/>
  <c r="L76"/>
  <c r="H76"/>
  <c r="G76"/>
  <c r="F76"/>
  <c r="E76"/>
  <c r="L75"/>
  <c r="H75"/>
  <c r="G75"/>
  <c r="F75"/>
  <c r="E75"/>
  <c r="L74"/>
  <c r="H74"/>
  <c r="G74"/>
  <c r="F74"/>
  <c r="E74"/>
  <c r="L73"/>
  <c r="H73"/>
  <c r="G73"/>
  <c r="F73"/>
  <c r="E73"/>
  <c r="L72"/>
  <c r="H72"/>
  <c r="G72"/>
  <c r="F72"/>
  <c r="E72"/>
  <c r="L71"/>
  <c r="H71"/>
  <c r="G71"/>
  <c r="F71"/>
  <c r="E71"/>
  <c r="L70"/>
  <c r="H70"/>
  <c r="G70"/>
  <c r="F70"/>
  <c r="E70"/>
  <c r="N69"/>
  <c r="L69"/>
  <c r="H69"/>
  <c r="G69"/>
  <c r="F69"/>
  <c r="E69"/>
  <c r="N68"/>
  <c r="L68"/>
  <c r="H68"/>
  <c r="G68"/>
  <c r="F68"/>
  <c r="E68"/>
  <c r="N67"/>
  <c r="L67"/>
  <c r="H67"/>
  <c r="G67"/>
  <c r="F67"/>
  <c r="E67"/>
  <c r="N66"/>
  <c r="L66"/>
  <c r="H66"/>
  <c r="G66"/>
  <c r="F66"/>
  <c r="E66"/>
  <c r="N65"/>
  <c r="L65"/>
  <c r="H65"/>
  <c r="G65"/>
  <c r="F65"/>
  <c r="E65"/>
  <c r="N64"/>
  <c r="L64"/>
  <c r="H64"/>
  <c r="G64"/>
  <c r="F64"/>
  <c r="E64"/>
  <c r="W63"/>
  <c r="R63"/>
  <c r="N63"/>
  <c r="L63"/>
  <c r="H63"/>
  <c r="G63"/>
  <c r="F63"/>
  <c r="E63"/>
  <c r="W62"/>
  <c r="R62"/>
  <c r="N62"/>
  <c r="L62"/>
  <c r="H62"/>
  <c r="G62"/>
  <c r="F62"/>
  <c r="E62"/>
  <c r="W61"/>
  <c r="R61"/>
  <c r="G61" s="1"/>
  <c r="N61"/>
  <c r="L61"/>
  <c r="H61"/>
  <c r="E61"/>
  <c r="N60"/>
  <c r="L60"/>
  <c r="E60"/>
  <c r="R59"/>
  <c r="R60" s="1"/>
  <c r="W60" s="1"/>
  <c r="P59"/>
  <c r="N59"/>
  <c r="L59"/>
  <c r="E59"/>
  <c r="W58"/>
  <c r="R58"/>
  <c r="G58" s="1"/>
  <c r="N58"/>
  <c r="L58"/>
  <c r="H58"/>
  <c r="F58"/>
  <c r="E58"/>
  <c r="W57"/>
  <c r="R57"/>
  <c r="H57" s="1"/>
  <c r="N57"/>
  <c r="L57"/>
  <c r="G57"/>
  <c r="F57"/>
  <c r="E57"/>
  <c r="W56"/>
  <c r="R56"/>
  <c r="Q56"/>
  <c r="H56" s="1"/>
  <c r="O56"/>
  <c r="G56" s="1"/>
  <c r="N56"/>
  <c r="L56"/>
  <c r="E56"/>
  <c r="W55"/>
  <c r="R55"/>
  <c r="N55"/>
  <c r="L55"/>
  <c r="H55"/>
  <c r="G55"/>
  <c r="F55"/>
  <c r="E55"/>
  <c r="R54"/>
  <c r="H54" s="1"/>
  <c r="N54"/>
  <c r="L54"/>
  <c r="E54"/>
  <c r="R53"/>
  <c r="P53"/>
  <c r="N53"/>
  <c r="L53"/>
  <c r="E53"/>
  <c r="R52"/>
  <c r="P52"/>
  <c r="G52" s="1"/>
  <c r="N52"/>
  <c r="L52"/>
  <c r="E52"/>
  <c r="T51"/>
  <c r="R51"/>
  <c r="Q51"/>
  <c r="P51"/>
  <c r="H51" s="1"/>
  <c r="O51"/>
  <c r="G51" s="1"/>
  <c r="N51"/>
  <c r="L51"/>
  <c r="E51"/>
  <c r="R50"/>
  <c r="H50" s="1"/>
  <c r="P50"/>
  <c r="N50"/>
  <c r="L50"/>
  <c r="F50"/>
  <c r="E50"/>
  <c r="P49"/>
  <c r="N49"/>
  <c r="L49"/>
  <c r="E49"/>
  <c r="W48"/>
  <c r="T48"/>
  <c r="F48" s="1"/>
  <c r="R48"/>
  <c r="H48" s="1"/>
  <c r="O48"/>
  <c r="N48"/>
  <c r="L48"/>
  <c r="E48"/>
  <c r="W47"/>
  <c r="T47"/>
  <c r="R47"/>
  <c r="H47" s="1"/>
  <c r="O47"/>
  <c r="G47" s="1"/>
  <c r="N47"/>
  <c r="L47"/>
  <c r="E47"/>
  <c r="W46"/>
  <c r="T46"/>
  <c r="R46"/>
  <c r="Q46"/>
  <c r="O46"/>
  <c r="L46" s="1"/>
  <c r="N46"/>
  <c r="E46"/>
  <c r="W45"/>
  <c r="T45"/>
  <c r="R45"/>
  <c r="O45"/>
  <c r="G45" s="1"/>
  <c r="N45"/>
  <c r="H45"/>
  <c r="W44"/>
  <c r="T44"/>
  <c r="R44"/>
  <c r="H44" s="1"/>
  <c r="O44"/>
  <c r="L44" s="1"/>
  <c r="N44"/>
  <c r="R43"/>
  <c r="N43"/>
  <c r="L43"/>
  <c r="E43"/>
  <c r="W42"/>
  <c r="R42"/>
  <c r="G42" s="1"/>
  <c r="N42"/>
  <c r="L42"/>
  <c r="H42"/>
  <c r="F42"/>
  <c r="E42"/>
  <c r="W41"/>
  <c r="R41"/>
  <c r="H41" s="1"/>
  <c r="N41"/>
  <c r="L41"/>
  <c r="G41"/>
  <c r="F41"/>
  <c r="E41"/>
  <c r="R40"/>
  <c r="W40" s="1"/>
  <c r="N40"/>
  <c r="N35" s="1"/>
  <c r="L40"/>
  <c r="H40"/>
  <c r="G40"/>
  <c r="F40"/>
  <c r="E40"/>
  <c r="R39"/>
  <c r="G39" s="1"/>
  <c r="N39"/>
  <c r="N34" s="1"/>
  <c r="L39"/>
  <c r="H39"/>
  <c r="E39"/>
  <c r="W38"/>
  <c r="R38"/>
  <c r="H38" s="1"/>
  <c r="N38"/>
  <c r="L38"/>
  <c r="E38"/>
  <c r="W37"/>
  <c r="R37"/>
  <c r="N37"/>
  <c r="L37"/>
  <c r="H37"/>
  <c r="G37"/>
  <c r="F37"/>
  <c r="E37"/>
  <c r="R36"/>
  <c r="H36" s="1"/>
  <c r="N36"/>
  <c r="L36"/>
  <c r="E36"/>
  <c r="R35"/>
  <c r="L35"/>
  <c r="E35"/>
  <c r="R34"/>
  <c r="G34" s="1"/>
  <c r="L34"/>
  <c r="H34"/>
  <c r="F34"/>
  <c r="E34"/>
  <c r="R33"/>
  <c r="N33"/>
  <c r="L33"/>
  <c r="H33"/>
  <c r="G33"/>
  <c r="F33"/>
  <c r="E33"/>
  <c r="R32"/>
  <c r="L32"/>
  <c r="H32"/>
  <c r="G32"/>
  <c r="F32"/>
  <c r="E32"/>
  <c r="T31"/>
  <c r="O31"/>
  <c r="N31"/>
  <c r="L31"/>
  <c r="E31"/>
  <c r="T30"/>
  <c r="R30"/>
  <c r="O30"/>
  <c r="L30" s="1"/>
  <c r="N30"/>
  <c r="E30"/>
  <c r="T29"/>
  <c r="O29"/>
  <c r="N29"/>
  <c r="R29" s="1"/>
  <c r="H29" s="1"/>
  <c r="T28"/>
  <c r="O28"/>
  <c r="L28" s="1"/>
  <c r="N28"/>
  <c r="W27"/>
  <c r="W32" s="1"/>
  <c r="T27"/>
  <c r="R27"/>
  <c r="H27" s="1"/>
  <c r="O27"/>
  <c r="N27"/>
  <c r="L27"/>
  <c r="F27"/>
  <c r="E27"/>
  <c r="L26"/>
  <c r="E26"/>
  <c r="L25"/>
  <c r="E25"/>
  <c r="W24"/>
  <c r="R24"/>
  <c r="P24"/>
  <c r="L24"/>
  <c r="E24"/>
  <c r="W23"/>
  <c r="L23"/>
  <c r="E23"/>
  <c r="P22"/>
  <c r="L22"/>
  <c r="E22"/>
  <c r="P21"/>
  <c r="L21"/>
  <c r="E21"/>
  <c r="R20"/>
  <c r="P20"/>
  <c r="H20" s="1"/>
  <c r="L20"/>
  <c r="E20"/>
  <c r="P19"/>
  <c r="L19"/>
  <c r="E19"/>
  <c r="W18"/>
  <c r="R18"/>
  <c r="P18"/>
  <c r="H18" s="1"/>
  <c r="W17"/>
  <c r="R17"/>
  <c r="P17"/>
  <c r="N17"/>
  <c r="H17"/>
  <c r="W16"/>
  <c r="R16"/>
  <c r="H16" s="1"/>
  <c r="P16"/>
  <c r="O16"/>
  <c r="L16" s="1"/>
  <c r="N16"/>
  <c r="W15"/>
  <c r="R15"/>
  <c r="H15" s="1"/>
  <c r="P15"/>
  <c r="W14"/>
  <c r="W26" s="1"/>
  <c r="R14"/>
  <c r="R26" s="1"/>
  <c r="P14"/>
  <c r="G14" s="1"/>
  <c r="L14"/>
  <c r="H14"/>
  <c r="E14"/>
  <c r="W13"/>
  <c r="W25" s="1"/>
  <c r="R13"/>
  <c r="H13" s="1"/>
  <c r="P13"/>
  <c r="P25" s="1"/>
  <c r="L13"/>
  <c r="F13"/>
  <c r="E13"/>
  <c r="P12"/>
  <c r="N12"/>
  <c r="N24" s="1"/>
  <c r="L12"/>
  <c r="H12"/>
  <c r="G12"/>
  <c r="F12"/>
  <c r="E12"/>
  <c r="W11"/>
  <c r="R11"/>
  <c r="R23" s="1"/>
  <c r="P11"/>
  <c r="L11"/>
  <c r="E11"/>
  <c r="R10"/>
  <c r="L10"/>
  <c r="E10"/>
  <c r="R9"/>
  <c r="L9"/>
  <c r="E9"/>
  <c r="N8"/>
  <c r="L8"/>
  <c r="H8"/>
  <c r="G8"/>
  <c r="F8"/>
  <c r="E8"/>
  <c r="R7"/>
  <c r="H7" s="1"/>
  <c r="L7"/>
  <c r="E7"/>
  <c r="T6"/>
  <c r="O6"/>
  <c r="N6"/>
  <c r="N18" s="1"/>
  <c r="H6"/>
  <c r="T5"/>
  <c r="N5"/>
  <c r="H5"/>
  <c r="E5"/>
  <c r="O4"/>
  <c r="O5" s="1"/>
  <c r="N4"/>
  <c r="H4"/>
  <c r="F4"/>
  <c r="E4"/>
  <c r="T3"/>
  <c r="N3"/>
  <c r="N15" s="1"/>
  <c r="H3"/>
  <c r="P23" l="1"/>
  <c r="H11"/>
  <c r="G11"/>
  <c r="F11"/>
  <c r="H30"/>
  <c r="W30"/>
  <c r="W35" s="1"/>
  <c r="F30"/>
  <c r="H52"/>
  <c r="F52"/>
  <c r="R21"/>
  <c r="H21" s="1"/>
  <c r="H9"/>
  <c r="G9"/>
  <c r="F9"/>
  <c r="W29"/>
  <c r="W34" s="1"/>
  <c r="G48"/>
  <c r="G21"/>
  <c r="G29"/>
  <c r="N20"/>
  <c r="O18"/>
  <c r="L6"/>
  <c r="G6"/>
  <c r="F6"/>
  <c r="E6"/>
  <c r="G27"/>
  <c r="H35"/>
  <c r="G35"/>
  <c r="F35"/>
  <c r="H53"/>
  <c r="G53"/>
  <c r="F53"/>
  <c r="H59"/>
  <c r="G59"/>
  <c r="P60"/>
  <c r="F59"/>
  <c r="L5"/>
  <c r="O17"/>
  <c r="G5"/>
  <c r="F5"/>
  <c r="R22"/>
  <c r="H10"/>
  <c r="G10"/>
  <c r="F10"/>
  <c r="H43"/>
  <c r="G43"/>
  <c r="F43"/>
  <c r="W43"/>
  <c r="H46"/>
  <c r="F46"/>
  <c r="H24"/>
  <c r="G24"/>
  <c r="F24"/>
  <c r="R28"/>
  <c r="F28" s="1"/>
  <c r="N13"/>
  <c r="G4"/>
  <c r="E16"/>
  <c r="E28"/>
  <c r="L29"/>
  <c r="G30"/>
  <c r="E44"/>
  <c r="L45"/>
  <c r="G46"/>
  <c r="R49"/>
  <c r="H49" s="1"/>
  <c r="W54"/>
  <c r="W59"/>
  <c r="F7"/>
  <c r="N14"/>
  <c r="F16"/>
  <c r="R19"/>
  <c r="R25"/>
  <c r="H25" s="1"/>
  <c r="R31"/>
  <c r="F36"/>
  <c r="F44"/>
  <c r="F54"/>
  <c r="G7"/>
  <c r="G16"/>
  <c r="P26"/>
  <c r="N32"/>
  <c r="G36"/>
  <c r="G44"/>
  <c r="G54"/>
  <c r="L4"/>
  <c r="G13"/>
  <c r="F20"/>
  <c r="E29"/>
  <c r="F38"/>
  <c r="W39"/>
  <c r="E45"/>
  <c r="F47"/>
  <c r="G50"/>
  <c r="F51"/>
  <c r="F56"/>
  <c r="O3"/>
  <c r="F14"/>
  <c r="G20"/>
  <c r="F21"/>
  <c r="F29"/>
  <c r="G38"/>
  <c r="F39"/>
  <c r="F45"/>
  <c r="F61"/>
  <c r="N11"/>
  <c r="G26" l="1"/>
  <c r="F26"/>
  <c r="H26"/>
  <c r="H60"/>
  <c r="G60"/>
  <c r="F60"/>
  <c r="H22"/>
  <c r="G22"/>
  <c r="F22"/>
  <c r="H19"/>
  <c r="G19"/>
  <c r="F19"/>
  <c r="G49"/>
  <c r="F25"/>
  <c r="L18"/>
  <c r="G18"/>
  <c r="F18"/>
  <c r="E18"/>
  <c r="N23"/>
  <c r="N7"/>
  <c r="F49"/>
  <c r="N10"/>
  <c r="N26"/>
  <c r="N9"/>
  <c r="N25"/>
  <c r="G25"/>
  <c r="H28"/>
  <c r="W28"/>
  <c r="W33" s="1"/>
  <c r="G17"/>
  <c r="F17"/>
  <c r="E17"/>
  <c r="L17"/>
  <c r="E3"/>
  <c r="O15"/>
  <c r="L3"/>
  <c r="G3"/>
  <c r="F3"/>
  <c r="G28"/>
  <c r="H31"/>
  <c r="W31"/>
  <c r="W36" s="1"/>
  <c r="G31"/>
  <c r="F31"/>
  <c r="H23"/>
  <c r="G23"/>
  <c r="F23"/>
  <c r="N22" l="1"/>
  <c r="N19"/>
  <c r="N21"/>
  <c r="E15"/>
  <c r="L15"/>
  <c r="G15"/>
  <c r="F15"/>
  <c r="F19" i="7" l="1"/>
  <c r="T3" i="14" l="1"/>
  <c r="T2"/>
  <c r="B24" i="20"/>
  <c r="C2" s="1"/>
  <c r="C6" s="1"/>
  <c r="B13" s="1"/>
  <c r="B15" s="1"/>
  <c r="C13"/>
  <c r="B17" s="1"/>
  <c r="S21" i="14"/>
  <c r="T19"/>
  <c r="A19"/>
  <c r="A18"/>
  <c r="A17"/>
  <c r="A16"/>
  <c r="J16" s="1"/>
  <c r="J39" s="1"/>
  <c r="A15"/>
  <c r="A14"/>
  <c r="I14" s="1"/>
  <c r="A13"/>
  <c r="I13" s="1"/>
  <c r="A12"/>
  <c r="A11"/>
  <c r="A10"/>
  <c r="A9"/>
  <c r="Q6"/>
  <c r="Q24" s="1"/>
  <c r="P6"/>
  <c r="P14" s="1"/>
  <c r="P18"/>
  <c r="P44" s="1"/>
  <c r="O6"/>
  <c r="O14" s="1"/>
  <c r="N6"/>
  <c r="N16" s="1"/>
  <c r="M6"/>
  <c r="M8" s="1"/>
  <c r="L6"/>
  <c r="L7" s="1"/>
  <c r="K6"/>
  <c r="K10" s="1"/>
  <c r="J6"/>
  <c r="I6"/>
  <c r="I24" s="1"/>
  <c r="H6"/>
  <c r="H17" s="1"/>
  <c r="G6"/>
  <c r="F6"/>
  <c r="F11" s="1"/>
  <c r="S4"/>
  <c r="K3"/>
  <c r="I3"/>
  <c r="M3" s="1"/>
  <c r="F7" s="1"/>
  <c r="F8" s="1"/>
  <c r="S129" i="13"/>
  <c r="A129"/>
  <c r="S128"/>
  <c r="A128"/>
  <c r="S127"/>
  <c r="A127"/>
  <c r="S126"/>
  <c r="A126"/>
  <c r="S125"/>
  <c r="A125"/>
  <c r="S124"/>
  <c r="A124"/>
  <c r="S123"/>
  <c r="A123"/>
  <c r="S122"/>
  <c r="A122"/>
  <c r="S121"/>
  <c r="A121"/>
  <c r="S120"/>
  <c r="A120"/>
  <c r="S119"/>
  <c r="A119"/>
  <c r="S116"/>
  <c r="A116"/>
  <c r="S115"/>
  <c r="A115"/>
  <c r="S114"/>
  <c r="A114"/>
  <c r="S113"/>
  <c r="A113"/>
  <c r="S112"/>
  <c r="A112"/>
  <c r="S111"/>
  <c r="A111"/>
  <c r="S110"/>
  <c r="A110"/>
  <c r="S109"/>
  <c r="A109"/>
  <c r="S108"/>
  <c r="A108"/>
  <c r="S107"/>
  <c r="A107"/>
  <c r="S106"/>
  <c r="A106"/>
  <c r="S103"/>
  <c r="A103"/>
  <c r="S102"/>
  <c r="A102"/>
  <c r="S101"/>
  <c r="A101"/>
  <c r="S100"/>
  <c r="A100"/>
  <c r="S99"/>
  <c r="A99"/>
  <c r="S98"/>
  <c r="A98"/>
  <c r="S97"/>
  <c r="A97"/>
  <c r="S96"/>
  <c r="A96"/>
  <c r="S95"/>
  <c r="A95"/>
  <c r="S94"/>
  <c r="A94"/>
  <c r="S93"/>
  <c r="A93"/>
  <c r="S90"/>
  <c r="A90"/>
  <c r="S89"/>
  <c r="A89"/>
  <c r="S88"/>
  <c r="A88"/>
  <c r="S87"/>
  <c r="A87"/>
  <c r="S86"/>
  <c r="A86"/>
  <c r="S85"/>
  <c r="A85"/>
  <c r="S84"/>
  <c r="A84"/>
  <c r="S83"/>
  <c r="A83"/>
  <c r="S82"/>
  <c r="A82"/>
  <c r="S81"/>
  <c r="A81"/>
  <c r="S80"/>
  <c r="A80"/>
  <c r="S77"/>
  <c r="A77"/>
  <c r="S76"/>
  <c r="A76"/>
  <c r="S75"/>
  <c r="A75"/>
  <c r="S74"/>
  <c r="A74"/>
  <c r="S73"/>
  <c r="A73"/>
  <c r="S72"/>
  <c r="A72"/>
  <c r="S71"/>
  <c r="A71"/>
  <c r="S70"/>
  <c r="A70"/>
  <c r="S69"/>
  <c r="A69"/>
  <c r="S68"/>
  <c r="A68"/>
  <c r="S67"/>
  <c r="A67"/>
  <c r="S64"/>
  <c r="A64"/>
  <c r="S63"/>
  <c r="A63"/>
  <c r="S62"/>
  <c r="A62"/>
  <c r="S61"/>
  <c r="A61"/>
  <c r="S60"/>
  <c r="A60"/>
  <c r="S59"/>
  <c r="A59"/>
  <c r="S58"/>
  <c r="A58"/>
  <c r="S57"/>
  <c r="A57"/>
  <c r="S56"/>
  <c r="A56"/>
  <c r="S55"/>
  <c r="A55"/>
  <c r="S54"/>
  <c r="A54"/>
  <c r="S51"/>
  <c r="A51"/>
  <c r="S50"/>
  <c r="A50"/>
  <c r="S49"/>
  <c r="A49"/>
  <c r="S48"/>
  <c r="A48"/>
  <c r="S47"/>
  <c r="A47"/>
  <c r="S46"/>
  <c r="A46"/>
  <c r="S45"/>
  <c r="A45"/>
  <c r="S44"/>
  <c r="A44"/>
  <c r="S43"/>
  <c r="A43"/>
  <c r="S42"/>
  <c r="A42"/>
  <c r="S41"/>
  <c r="A41"/>
  <c r="S38"/>
  <c r="A38"/>
  <c r="S37"/>
  <c r="A37"/>
  <c r="S36"/>
  <c r="A36"/>
  <c r="S35"/>
  <c r="A35"/>
  <c r="S34"/>
  <c r="A34"/>
  <c r="S33"/>
  <c r="A33"/>
  <c r="S32"/>
  <c r="A32"/>
  <c r="S31"/>
  <c r="A31"/>
  <c r="S30"/>
  <c r="A30"/>
  <c r="S29"/>
  <c r="A29"/>
  <c r="S28"/>
  <c r="A28"/>
  <c r="S25"/>
  <c r="A25"/>
  <c r="S24"/>
  <c r="A24"/>
  <c r="S23"/>
  <c r="A23"/>
  <c r="S22"/>
  <c r="A22"/>
  <c r="S21"/>
  <c r="A21"/>
  <c r="S20"/>
  <c r="A20"/>
  <c r="S19"/>
  <c r="A19"/>
  <c r="S18"/>
  <c r="A18"/>
  <c r="S17"/>
  <c r="A17"/>
  <c r="S16"/>
  <c r="A16"/>
  <c r="S15"/>
  <c r="A15"/>
  <c r="S12"/>
  <c r="A12"/>
  <c r="S11"/>
  <c r="A11"/>
  <c r="S10"/>
  <c r="A10"/>
  <c r="S9"/>
  <c r="A9"/>
  <c r="S8"/>
  <c r="A8"/>
  <c r="S7"/>
  <c r="A7"/>
  <c r="S6"/>
  <c r="A6"/>
  <c r="S5"/>
  <c r="A5"/>
  <c r="S4"/>
  <c r="A4"/>
  <c r="S3"/>
  <c r="A3"/>
  <c r="S2"/>
  <c r="S131"/>
  <c r="A2"/>
  <c r="N7" i="14"/>
  <c r="N15"/>
  <c r="N38" s="1"/>
  <c r="K12"/>
  <c r="K31" s="1"/>
  <c r="J12"/>
  <c r="J31" s="1"/>
  <c r="Q7"/>
  <c r="L13"/>
  <c r="L33" s="1"/>
  <c r="N13"/>
  <c r="N34" s="1"/>
  <c r="Q10"/>
  <c r="Q28" s="1"/>
  <c r="J24"/>
  <c r="L24"/>
  <c r="T11"/>
  <c r="J19"/>
  <c r="J46" s="1"/>
  <c r="H9"/>
  <c r="H25" s="1"/>
  <c r="J17"/>
  <c r="J9"/>
  <c r="M15"/>
  <c r="M37" s="1"/>
  <c r="M16"/>
  <c r="M17"/>
  <c r="M41" s="1"/>
  <c r="M9"/>
  <c r="M18"/>
  <c r="M43" s="1"/>
  <c r="M10"/>
  <c r="M28" s="1"/>
  <c r="M7"/>
  <c r="M24"/>
  <c r="M19"/>
  <c r="M45" s="1"/>
  <c r="M11"/>
  <c r="M13"/>
  <c r="M33" s="1"/>
  <c r="Q27"/>
  <c r="M12"/>
  <c r="M31" s="1"/>
  <c r="M14"/>
  <c r="T17"/>
  <c r="T12"/>
  <c r="T13"/>
  <c r="T14"/>
  <c r="T15"/>
  <c r="T16"/>
  <c r="T18"/>
  <c r="T10"/>
  <c r="G24"/>
  <c r="G19"/>
  <c r="G45" s="1"/>
  <c r="O18"/>
  <c r="O43" s="1"/>
  <c r="O15"/>
  <c r="O37" s="1"/>
  <c r="T9"/>
  <c r="J11"/>
  <c r="J29" s="1"/>
  <c r="N8"/>
  <c r="J10"/>
  <c r="J27" s="1"/>
  <c r="N14"/>
  <c r="N36" s="1"/>
  <c r="P16"/>
  <c r="P39" s="1"/>
  <c r="I17"/>
  <c r="I41" s="1"/>
  <c r="J18"/>
  <c r="J44" s="1"/>
  <c r="N12"/>
  <c r="N32" s="1"/>
  <c r="I15"/>
  <c r="I38" s="1"/>
  <c r="Q15"/>
  <c r="Q37" s="1"/>
  <c r="N11"/>
  <c r="N30" s="1"/>
  <c r="Q14"/>
  <c r="Q35" s="1"/>
  <c r="J15"/>
  <c r="J38" s="1"/>
  <c r="K16"/>
  <c r="K39" s="1"/>
  <c r="N19"/>
  <c r="N45" s="1"/>
  <c r="N24"/>
  <c r="N10"/>
  <c r="N27" s="1"/>
  <c r="N18"/>
  <c r="N43" s="1"/>
  <c r="N9"/>
  <c r="N25" s="1"/>
  <c r="N17"/>
  <c r="H24"/>
  <c r="P24"/>
  <c r="P7"/>
  <c r="Q11"/>
  <c r="Q29" s="1"/>
  <c r="Q19"/>
  <c r="Q45" s="1"/>
  <c r="L34"/>
  <c r="N35"/>
  <c r="T21"/>
  <c r="H26"/>
  <c r="N29"/>
  <c r="T4"/>
  <c r="M35"/>
  <c r="M36"/>
  <c r="J41"/>
  <c r="J42"/>
  <c r="M25"/>
  <c r="M26"/>
  <c r="M38"/>
  <c r="M42"/>
  <c r="N26"/>
  <c r="J43"/>
  <c r="J25"/>
  <c r="J26"/>
  <c r="N42"/>
  <c r="N41"/>
  <c r="J37"/>
  <c r="J28"/>
  <c r="M29"/>
  <c r="M30"/>
  <c r="M39"/>
  <c r="M40"/>
  <c r="S21" i="12"/>
  <c r="T19" s="1"/>
  <c r="A19"/>
  <c r="A18"/>
  <c r="A17"/>
  <c r="H17" s="1"/>
  <c r="A16"/>
  <c r="A15"/>
  <c r="A14"/>
  <c r="A13"/>
  <c r="A12"/>
  <c r="Q12" s="1"/>
  <c r="A11"/>
  <c r="A10"/>
  <c r="Q10" s="1"/>
  <c r="A9"/>
  <c r="P9" s="1"/>
  <c r="Q6"/>
  <c r="Q24" s="1"/>
  <c r="P6"/>
  <c r="O6"/>
  <c r="O15" s="1"/>
  <c r="N6"/>
  <c r="M6"/>
  <c r="M14" s="1"/>
  <c r="L6"/>
  <c r="L16" s="1"/>
  <c r="K6"/>
  <c r="K24" s="1"/>
  <c r="J6"/>
  <c r="J24" s="1"/>
  <c r="I6"/>
  <c r="I18" s="1"/>
  <c r="H6"/>
  <c r="G6"/>
  <c r="G10" s="1"/>
  <c r="F6"/>
  <c r="F12" s="1"/>
  <c r="T2"/>
  <c r="T3"/>
  <c r="Q30" s="1"/>
  <c r="M3"/>
  <c r="F7" s="1"/>
  <c r="F8" s="1"/>
  <c r="S129" i="10"/>
  <c r="A129"/>
  <c r="S128"/>
  <c r="A128"/>
  <c r="S127"/>
  <c r="A127"/>
  <c r="S126"/>
  <c r="A126"/>
  <c r="S125"/>
  <c r="A125"/>
  <c r="S124"/>
  <c r="A124"/>
  <c r="S123"/>
  <c r="A123"/>
  <c r="S122"/>
  <c r="A122"/>
  <c r="S121"/>
  <c r="A121"/>
  <c r="S120"/>
  <c r="A120"/>
  <c r="S119"/>
  <c r="A119"/>
  <c r="S116"/>
  <c r="A116"/>
  <c r="S115"/>
  <c r="A115"/>
  <c r="S114"/>
  <c r="A114"/>
  <c r="S113"/>
  <c r="A113"/>
  <c r="S112"/>
  <c r="A112"/>
  <c r="S111"/>
  <c r="A111"/>
  <c r="S110"/>
  <c r="A110"/>
  <c r="S109"/>
  <c r="A109"/>
  <c r="S108"/>
  <c r="A108"/>
  <c r="S107"/>
  <c r="A107"/>
  <c r="S106"/>
  <c r="A106"/>
  <c r="S103"/>
  <c r="A103"/>
  <c r="S102"/>
  <c r="A102"/>
  <c r="S101"/>
  <c r="A101"/>
  <c r="S100"/>
  <c r="A100"/>
  <c r="S99"/>
  <c r="A99"/>
  <c r="S98"/>
  <c r="A98"/>
  <c r="S97"/>
  <c r="A97"/>
  <c r="S96"/>
  <c r="A96"/>
  <c r="S95"/>
  <c r="A95"/>
  <c r="S94"/>
  <c r="A94"/>
  <c r="S93"/>
  <c r="A93"/>
  <c r="S90"/>
  <c r="A90"/>
  <c r="S89"/>
  <c r="A89"/>
  <c r="S88"/>
  <c r="A88"/>
  <c r="S87"/>
  <c r="A87"/>
  <c r="S86"/>
  <c r="A86"/>
  <c r="S85"/>
  <c r="A85"/>
  <c r="S84"/>
  <c r="A84"/>
  <c r="S83"/>
  <c r="A83"/>
  <c r="S82"/>
  <c r="A82"/>
  <c r="S81"/>
  <c r="A81"/>
  <c r="S80"/>
  <c r="A80"/>
  <c r="S77"/>
  <c r="A77"/>
  <c r="S76"/>
  <c r="A76"/>
  <c r="S75"/>
  <c r="A75"/>
  <c r="S74"/>
  <c r="A74"/>
  <c r="S73"/>
  <c r="A73"/>
  <c r="S72"/>
  <c r="A72"/>
  <c r="S71"/>
  <c r="A71"/>
  <c r="S70"/>
  <c r="A70"/>
  <c r="S69"/>
  <c r="A69"/>
  <c r="S68"/>
  <c r="A68"/>
  <c r="S67"/>
  <c r="A67"/>
  <c r="S64"/>
  <c r="A64"/>
  <c r="S63"/>
  <c r="A63"/>
  <c r="S62"/>
  <c r="A62"/>
  <c r="S61"/>
  <c r="A61"/>
  <c r="S60"/>
  <c r="A60"/>
  <c r="S59"/>
  <c r="A59"/>
  <c r="S58"/>
  <c r="A58"/>
  <c r="S57"/>
  <c r="A57"/>
  <c r="S56"/>
  <c r="A56"/>
  <c r="S55"/>
  <c r="A55"/>
  <c r="S54"/>
  <c r="A54"/>
  <c r="S51"/>
  <c r="A51"/>
  <c r="S50"/>
  <c r="A50"/>
  <c r="S49"/>
  <c r="A49"/>
  <c r="S48"/>
  <c r="A48"/>
  <c r="S47"/>
  <c r="A47"/>
  <c r="S46"/>
  <c r="A46"/>
  <c r="S45"/>
  <c r="A45"/>
  <c r="S44"/>
  <c r="A44"/>
  <c r="S43"/>
  <c r="A43"/>
  <c r="S42"/>
  <c r="A42"/>
  <c r="S41"/>
  <c r="A41"/>
  <c r="S38"/>
  <c r="A38"/>
  <c r="S37"/>
  <c r="A37"/>
  <c r="S36"/>
  <c r="A36"/>
  <c r="S35"/>
  <c r="A35"/>
  <c r="S34"/>
  <c r="A34"/>
  <c r="S33"/>
  <c r="A33"/>
  <c r="S32"/>
  <c r="A32"/>
  <c r="S31"/>
  <c r="A31"/>
  <c r="S30"/>
  <c r="A30"/>
  <c r="S29"/>
  <c r="A29"/>
  <c r="S28"/>
  <c r="A28"/>
  <c r="S25"/>
  <c r="A25"/>
  <c r="S24"/>
  <c r="A24"/>
  <c r="S23"/>
  <c r="A23"/>
  <c r="S22"/>
  <c r="A22"/>
  <c r="S21"/>
  <c r="A21"/>
  <c r="S20"/>
  <c r="A20"/>
  <c r="S19"/>
  <c r="A19"/>
  <c r="S18"/>
  <c r="A18"/>
  <c r="S17"/>
  <c r="A17"/>
  <c r="S16"/>
  <c r="A16"/>
  <c r="S15"/>
  <c r="A15"/>
  <c r="S12"/>
  <c r="A12"/>
  <c r="S11"/>
  <c r="A11"/>
  <c r="S10"/>
  <c r="A10"/>
  <c r="S9"/>
  <c r="A9"/>
  <c r="S8"/>
  <c r="A8"/>
  <c r="S7"/>
  <c r="A7"/>
  <c r="S6"/>
  <c r="A6"/>
  <c r="S5"/>
  <c r="A5"/>
  <c r="S4"/>
  <c r="A4"/>
  <c r="J19" i="12"/>
  <c r="S3" i="10"/>
  <c r="A3"/>
  <c r="S2"/>
  <c r="A2"/>
  <c r="S131"/>
  <c r="Q18" i="12"/>
  <c r="Q43" s="1"/>
  <c r="P16"/>
  <c r="I9"/>
  <c r="M16"/>
  <c r="M24"/>
  <c r="M19"/>
  <c r="M11"/>
  <c r="M29" s="1"/>
  <c r="F11"/>
  <c r="N12"/>
  <c r="N31" s="1"/>
  <c r="J11"/>
  <c r="L12"/>
  <c r="H16"/>
  <c r="P15"/>
  <c r="Q16"/>
  <c r="L19"/>
  <c r="L45" s="1"/>
  <c r="Q15"/>
  <c r="Q37" s="1"/>
  <c r="I14"/>
  <c r="J15"/>
  <c r="J37" s="1"/>
  <c r="K16"/>
  <c r="I12"/>
  <c r="I31" s="1"/>
  <c r="H19"/>
  <c r="P24"/>
  <c r="I11"/>
  <c r="I29" s="1"/>
  <c r="Q11"/>
  <c r="Q29" s="1"/>
  <c r="I19"/>
  <c r="I45" s="1"/>
  <c r="M39"/>
  <c r="J29"/>
  <c r="F17" i="7"/>
  <c r="G5"/>
  <c r="G14"/>
  <c r="G15"/>
  <c r="G13"/>
  <c r="G12"/>
  <c r="G11"/>
  <c r="G9"/>
  <c r="G6"/>
  <c r="G10"/>
  <c r="G7"/>
  <c r="G8"/>
  <c r="G17"/>
  <c r="I36" i="12" l="1"/>
  <c r="N32"/>
  <c r="T4"/>
  <c r="I30"/>
  <c r="J30" i="14"/>
  <c r="P40"/>
  <c r="O10" i="12"/>
  <c r="O27" s="1"/>
  <c r="G18"/>
  <c r="G43" s="1"/>
  <c r="P19"/>
  <c r="I13"/>
  <c r="O28"/>
  <c r="Q38"/>
  <c r="F29"/>
  <c r="I44"/>
  <c r="L46"/>
  <c r="H45"/>
  <c r="Q39"/>
  <c r="M45"/>
  <c r="P38"/>
  <c r="M40"/>
  <c r="I32"/>
  <c r="H40"/>
  <c r="K40"/>
  <c r="L32"/>
  <c r="I25"/>
  <c r="J30"/>
  <c r="P40"/>
  <c r="J46"/>
  <c r="T16"/>
  <c r="T12"/>
  <c r="T9"/>
  <c r="T13"/>
  <c r="T17"/>
  <c r="T10"/>
  <c r="T14"/>
  <c r="T11"/>
  <c r="T15"/>
  <c r="T18"/>
  <c r="F31"/>
  <c r="F32"/>
  <c r="P45"/>
  <c r="P46"/>
  <c r="Q31"/>
  <c r="Q32"/>
  <c r="J17"/>
  <c r="F24"/>
  <c r="L9"/>
  <c r="P13"/>
  <c r="P34" s="1"/>
  <c r="H13"/>
  <c r="F14"/>
  <c r="F35" s="1"/>
  <c r="H18"/>
  <c r="H43" s="1"/>
  <c r="J38"/>
  <c r="G44"/>
  <c r="J13"/>
  <c r="M30"/>
  <c r="I46"/>
  <c r="G9"/>
  <c r="G25" s="1"/>
  <c r="J16"/>
  <c r="I16"/>
  <c r="F18"/>
  <c r="M18"/>
  <c r="M43" s="1"/>
  <c r="H12"/>
  <c r="I24"/>
  <c r="F15"/>
  <c r="F19"/>
  <c r="I26"/>
  <c r="H39"/>
  <c r="M46"/>
  <c r="P37"/>
  <c r="Q40"/>
  <c r="G24"/>
  <c r="I15"/>
  <c r="H15"/>
  <c r="N18"/>
  <c r="N43" s="1"/>
  <c r="G16"/>
  <c r="M15"/>
  <c r="K19"/>
  <c r="P17"/>
  <c r="P42" s="1"/>
  <c r="H9"/>
  <c r="H25" s="1"/>
  <c r="I35"/>
  <c r="H24"/>
  <c r="G14"/>
  <c r="G35" s="1"/>
  <c r="K12"/>
  <c r="K11"/>
  <c r="K29" s="1"/>
  <c r="J12"/>
  <c r="F16"/>
  <c r="H11"/>
  <c r="H29" s="1"/>
  <c r="F30"/>
  <c r="O19"/>
  <c r="O45" s="1"/>
  <c r="H14"/>
  <c r="H36" s="1"/>
  <c r="N9"/>
  <c r="I17"/>
  <c r="K39"/>
  <c r="L31"/>
  <c r="Q19"/>
  <c r="K15"/>
  <c r="K38" s="1"/>
  <c r="L24"/>
  <c r="K10"/>
  <c r="K27" s="1"/>
  <c r="M12"/>
  <c r="G13"/>
  <c r="I33"/>
  <c r="I34"/>
  <c r="G27"/>
  <c r="G28"/>
  <c r="L40"/>
  <c r="L39"/>
  <c r="H33"/>
  <c r="H34"/>
  <c r="O37"/>
  <c r="O38"/>
  <c r="F37"/>
  <c r="F38"/>
  <c r="Q28"/>
  <c r="Q27"/>
  <c r="P41"/>
  <c r="P26"/>
  <c r="P25"/>
  <c r="M36"/>
  <c r="M35"/>
  <c r="H44"/>
  <c r="J31"/>
  <c r="J32"/>
  <c r="H42"/>
  <c r="H41"/>
  <c r="K14"/>
  <c r="G19"/>
  <c r="Q14"/>
  <c r="P14"/>
  <c r="K18"/>
  <c r="L11"/>
  <c r="N13"/>
  <c r="N17"/>
  <c r="F10"/>
  <c r="M13"/>
  <c r="M10"/>
  <c r="L15"/>
  <c r="J10"/>
  <c r="I43"/>
  <c r="Q44"/>
  <c r="P11"/>
  <c r="P12"/>
  <c r="O17"/>
  <c r="P39"/>
  <c r="H46"/>
  <c r="J14"/>
  <c r="L10"/>
  <c r="J9"/>
  <c r="N11"/>
  <c r="N16"/>
  <c r="F9"/>
  <c r="M9"/>
  <c r="L13"/>
  <c r="K13"/>
  <c r="G12"/>
  <c r="O13"/>
  <c r="H30"/>
  <c r="K37"/>
  <c r="K30"/>
  <c r="Q13"/>
  <c r="K9"/>
  <c r="N19"/>
  <c r="F13"/>
  <c r="F17"/>
  <c r="M17"/>
  <c r="J18"/>
  <c r="L17"/>
  <c r="P33"/>
  <c r="L18"/>
  <c r="G17"/>
  <c r="Q17"/>
  <c r="O16"/>
  <c r="O11"/>
  <c r="N14"/>
  <c r="P18"/>
  <c r="P10"/>
  <c r="K17"/>
  <c r="N24"/>
  <c r="L14"/>
  <c r="G11"/>
  <c r="G15"/>
  <c r="J45"/>
  <c r="Q9"/>
  <c r="O12"/>
  <c r="G7"/>
  <c r="G8" s="1"/>
  <c r="H7" s="1"/>
  <c r="H8" s="1"/>
  <c r="I7" s="1"/>
  <c r="I8" s="1"/>
  <c r="J7" s="1"/>
  <c r="J8" s="1"/>
  <c r="K7" s="1"/>
  <c r="K8" s="1"/>
  <c r="L7" s="1"/>
  <c r="L8" s="1"/>
  <c r="M7" s="1"/>
  <c r="M8" s="1"/>
  <c r="N7" s="1"/>
  <c r="N8" s="1"/>
  <c r="O7" s="1"/>
  <c r="O8" s="1"/>
  <c r="P7" s="1"/>
  <c r="P8" s="1"/>
  <c r="Q7" s="1"/>
  <c r="Q8" s="1"/>
  <c r="H26"/>
  <c r="G26"/>
  <c r="H10"/>
  <c r="O24"/>
  <c r="I10"/>
  <c r="O9"/>
  <c r="O18"/>
  <c r="O14"/>
  <c r="N10"/>
  <c r="N15"/>
  <c r="K27" i="14"/>
  <c r="K28"/>
  <c r="Q30"/>
  <c r="M27"/>
  <c r="I19"/>
  <c r="K15"/>
  <c r="H14"/>
  <c r="H16"/>
  <c r="J32"/>
  <c r="O12"/>
  <c r="O17"/>
  <c r="N37"/>
  <c r="N33"/>
  <c r="H15"/>
  <c r="H38" s="1"/>
  <c r="K18"/>
  <c r="Q38"/>
  <c r="M32"/>
  <c r="J14"/>
  <c r="O11"/>
  <c r="O29" s="1"/>
  <c r="I37"/>
  <c r="N46"/>
  <c r="K32"/>
  <c r="I11"/>
  <c r="J13"/>
  <c r="J33" s="1"/>
  <c r="Q13"/>
  <c r="K24"/>
  <c r="K11"/>
  <c r="O19"/>
  <c r="I18"/>
  <c r="Q16"/>
  <c r="Q40" s="1"/>
  <c r="I10"/>
  <c r="K13"/>
  <c r="L14"/>
  <c r="L35" s="1"/>
  <c r="O13"/>
  <c r="O9"/>
  <c r="M34"/>
  <c r="Q36"/>
  <c r="H10"/>
  <c r="Q12"/>
  <c r="H12"/>
  <c r="H31" s="1"/>
  <c r="Q8"/>
  <c r="K19"/>
  <c r="O24"/>
  <c r="I16"/>
  <c r="H19"/>
  <c r="O8"/>
  <c r="K14"/>
  <c r="I12"/>
  <c r="K17"/>
  <c r="Q9"/>
  <c r="Q25" s="1"/>
  <c r="H18"/>
  <c r="O7"/>
  <c r="Q18"/>
  <c r="M48"/>
  <c r="H11"/>
  <c r="Q17"/>
  <c r="Q41" s="1"/>
  <c r="I9"/>
  <c r="I25" s="1"/>
  <c r="O16"/>
  <c r="O40" s="1"/>
  <c r="O10"/>
  <c r="O28" s="1"/>
  <c r="K9"/>
  <c r="G16"/>
  <c r="G40" s="1"/>
  <c r="I33"/>
  <c r="I34"/>
  <c r="I35"/>
  <c r="I36"/>
  <c r="O36"/>
  <c r="O35"/>
  <c r="P35"/>
  <c r="P36"/>
  <c r="F30"/>
  <c r="F29"/>
  <c r="H41"/>
  <c r="H42"/>
  <c r="N40"/>
  <c r="N39"/>
  <c r="K40"/>
  <c r="F18"/>
  <c r="P43"/>
  <c r="G14"/>
  <c r="N31"/>
  <c r="Q26"/>
  <c r="Q46"/>
  <c r="M44"/>
  <c r="O30"/>
  <c r="O27"/>
  <c r="J40"/>
  <c r="J45"/>
  <c r="O44"/>
  <c r="G46"/>
  <c r="H37"/>
  <c r="L16"/>
  <c r="F10"/>
  <c r="L18"/>
  <c r="F12"/>
  <c r="G10"/>
  <c r="P17"/>
  <c r="L11"/>
  <c r="N28"/>
  <c r="L36"/>
  <c r="P19"/>
  <c r="P8"/>
  <c r="F15"/>
  <c r="G18"/>
  <c r="L10"/>
  <c r="J34"/>
  <c r="O38"/>
  <c r="M46"/>
  <c r="P11"/>
  <c r="F24"/>
  <c r="P13"/>
  <c r="F14"/>
  <c r="F13"/>
  <c r="G15"/>
  <c r="G9"/>
  <c r="P15"/>
  <c r="P9"/>
  <c r="P10"/>
  <c r="H13"/>
  <c r="L12"/>
  <c r="G13"/>
  <c r="G17"/>
  <c r="F16"/>
  <c r="L9"/>
  <c r="G7"/>
  <c r="G8" s="1"/>
  <c r="H7" s="1"/>
  <c r="H8" s="1"/>
  <c r="I7" s="1"/>
  <c r="I8" s="1"/>
  <c r="J7" s="1"/>
  <c r="J8" s="1"/>
  <c r="K7" s="1"/>
  <c r="K8" s="1"/>
  <c r="N44"/>
  <c r="I26"/>
  <c r="I42"/>
  <c r="H32"/>
  <c r="F17"/>
  <c r="F19"/>
  <c r="G12"/>
  <c r="L8"/>
  <c r="L15"/>
  <c r="F9"/>
  <c r="P12"/>
  <c r="L17"/>
  <c r="G11"/>
  <c r="L19"/>
  <c r="W15" i="12" l="1"/>
  <c r="O39" i="14"/>
  <c r="M49"/>
  <c r="W11" i="12"/>
  <c r="O448" i="21"/>
  <c r="K192"/>
  <c r="O192" s="1"/>
  <c r="K189"/>
  <c r="K98"/>
  <c r="O98" s="1"/>
  <c r="K94"/>
  <c r="O94" s="1"/>
  <c r="K90"/>
  <c r="O90" s="1"/>
  <c r="K171"/>
  <c r="K123"/>
  <c r="K43"/>
  <c r="O43" s="1"/>
  <c r="K101"/>
  <c r="O101" s="1"/>
  <c r="K89"/>
  <c r="O89" s="1"/>
  <c r="K178"/>
  <c r="K163"/>
  <c r="K155"/>
  <c r="K121"/>
  <c r="K97"/>
  <c r="O97" s="1"/>
  <c r="K152"/>
  <c r="K139"/>
  <c r="K93"/>
  <c r="O93" s="1"/>
  <c r="K175"/>
  <c r="K173"/>
  <c r="K187"/>
  <c r="K151"/>
  <c r="K140"/>
  <c r="K99"/>
  <c r="O99" s="1"/>
  <c r="K100"/>
  <c r="O100" s="1"/>
  <c r="K96"/>
  <c r="O96" s="1"/>
  <c r="K92"/>
  <c r="O92" s="1"/>
  <c r="K88"/>
  <c r="O88" s="1"/>
  <c r="K91"/>
  <c r="O91" s="1"/>
  <c r="K174"/>
  <c r="K148"/>
  <c r="K44"/>
  <c r="O44" s="1"/>
  <c r="O198"/>
  <c r="K179"/>
  <c r="K177"/>
  <c r="K167"/>
  <c r="K159"/>
  <c r="K143"/>
  <c r="K122"/>
  <c r="K45"/>
  <c r="O45" s="1"/>
  <c r="K95"/>
  <c r="O95" s="1"/>
  <c r="K75"/>
  <c r="K124"/>
  <c r="K235"/>
  <c r="K78"/>
  <c r="K25"/>
  <c r="K240"/>
  <c r="J297"/>
  <c r="K297" s="1"/>
  <c r="O297" s="1"/>
  <c r="K136"/>
  <c r="K295"/>
  <c r="K74"/>
  <c r="K128"/>
  <c r="K31"/>
  <c r="J318"/>
  <c r="K318" s="1"/>
  <c r="O318" s="1"/>
  <c r="K181"/>
  <c r="K72"/>
  <c r="K249"/>
  <c r="K119"/>
  <c r="K135"/>
  <c r="K27"/>
  <c r="K242"/>
  <c r="K114"/>
  <c r="K30"/>
  <c r="K245"/>
  <c r="K23"/>
  <c r="K185"/>
  <c r="O185" s="1"/>
  <c r="K82"/>
  <c r="K40"/>
  <c r="K180"/>
  <c r="K69"/>
  <c r="K225"/>
  <c r="K80"/>
  <c r="K280"/>
  <c r="K244"/>
  <c r="K184"/>
  <c r="K38"/>
  <c r="K250"/>
  <c r="K286"/>
  <c r="K41"/>
  <c r="K271"/>
  <c r="K33"/>
  <c r="O33" s="1"/>
  <c r="K188"/>
  <c r="O188" s="1"/>
  <c r="K224"/>
  <c r="K237"/>
  <c r="K243"/>
  <c r="K131"/>
  <c r="O131" s="1"/>
  <c r="K283"/>
  <c r="K26"/>
  <c r="K116"/>
  <c r="J294"/>
  <c r="K294" s="1"/>
  <c r="O294" s="1"/>
  <c r="J228"/>
  <c r="K228" s="1"/>
  <c r="O228" s="1"/>
  <c r="K73"/>
  <c r="K289"/>
  <c r="K76"/>
  <c r="O76" s="1"/>
  <c r="K292"/>
  <c r="K32"/>
  <c r="K36"/>
  <c r="K229"/>
  <c r="O229" s="1"/>
  <c r="K236"/>
  <c r="K256"/>
  <c r="K183"/>
  <c r="K118"/>
  <c r="K34"/>
  <c r="K126"/>
  <c r="K247"/>
  <c r="K81"/>
  <c r="K231"/>
  <c r="O231" s="1"/>
  <c r="K84"/>
  <c r="O84" s="1"/>
  <c r="K71"/>
  <c r="K233"/>
  <c r="K298"/>
  <c r="K227"/>
  <c r="J288"/>
  <c r="K288" s="1"/>
  <c r="O288" s="1"/>
  <c r="K77"/>
  <c r="K137"/>
  <c r="K19"/>
  <c r="J300"/>
  <c r="K300" s="1"/>
  <c r="O300" s="1"/>
  <c r="K117"/>
  <c r="K130"/>
  <c r="K79"/>
  <c r="K238"/>
  <c r="K241"/>
  <c r="K134"/>
  <c r="K196"/>
  <c r="K35"/>
  <c r="K83"/>
  <c r="K70"/>
  <c r="K22"/>
  <c r="K129"/>
  <c r="K21"/>
  <c r="K86"/>
  <c r="K246"/>
  <c r="K24"/>
  <c r="K20"/>
  <c r="K28"/>
  <c r="K277"/>
  <c r="K37"/>
  <c r="K127"/>
  <c r="K133"/>
  <c r="K115"/>
  <c r="K234"/>
  <c r="J230"/>
  <c r="K230" s="1"/>
  <c r="O230" s="1"/>
  <c r="J232"/>
  <c r="K232" s="1"/>
  <c r="O232" s="1"/>
  <c r="K182"/>
  <c r="K125"/>
  <c r="K239"/>
  <c r="K29"/>
  <c r="K1947"/>
  <c r="K1913"/>
  <c r="K1881"/>
  <c r="K1945"/>
  <c r="K2098"/>
  <c r="K1919"/>
  <c r="K1887"/>
  <c r="K1860"/>
  <c r="K1797"/>
  <c r="K1673"/>
  <c r="K1935"/>
  <c r="K1754"/>
  <c r="K1667"/>
  <c r="K1878"/>
  <c r="K1836"/>
  <c r="K1574"/>
  <c r="K1510"/>
  <c r="K1446"/>
  <c r="K1656"/>
  <c r="K1676"/>
  <c r="K1750"/>
  <c r="K1611"/>
  <c r="K1547"/>
  <c r="K1484"/>
  <c r="K1315"/>
  <c r="K1234"/>
  <c r="K1165"/>
  <c r="K1101"/>
  <c r="K1037"/>
  <c r="K973"/>
  <c r="K1492"/>
  <c r="K1373"/>
  <c r="K1254"/>
  <c r="K1413"/>
  <c r="K1339"/>
  <c r="K1258"/>
  <c r="K1179"/>
  <c r="K1508"/>
  <c r="K1316"/>
  <c r="K1516"/>
  <c r="K1382"/>
  <c r="K1299"/>
  <c r="K1219"/>
  <c r="K1153"/>
  <c r="K1089"/>
  <c r="K1025"/>
  <c r="K961"/>
  <c r="K1460"/>
  <c r="K1276"/>
  <c r="K1196"/>
  <c r="K1132"/>
  <c r="K1068"/>
  <c r="K1004"/>
  <c r="K940"/>
  <c r="K876"/>
  <c r="K812"/>
  <c r="K1499"/>
  <c r="K1372"/>
  <c r="K1291"/>
  <c r="K1207"/>
  <c r="K1143"/>
  <c r="K1079"/>
  <c r="K1015"/>
  <c r="K951"/>
  <c r="K887"/>
  <c r="K823"/>
  <c r="K1507"/>
  <c r="K1326"/>
  <c r="K1099"/>
  <c r="K931"/>
  <c r="K909"/>
  <c r="K889"/>
  <c r="K867"/>
  <c r="K845"/>
  <c r="K732"/>
  <c r="K132"/>
  <c r="K1943"/>
  <c r="K1909"/>
  <c r="K1877"/>
  <c r="K1941"/>
  <c r="K2078"/>
  <c r="K1915"/>
  <c r="K1883"/>
  <c r="K1852"/>
  <c r="K1792"/>
  <c r="K1866"/>
  <c r="K1798"/>
  <c r="K1746"/>
  <c r="K1663"/>
  <c r="K1874"/>
  <c r="K1832"/>
  <c r="K1566"/>
  <c r="K1502"/>
  <c r="K1438"/>
  <c r="K1906"/>
  <c r="K1661"/>
  <c r="K1672"/>
  <c r="K1603"/>
  <c r="K1539"/>
  <c r="K1461"/>
  <c r="K1309"/>
  <c r="K1223"/>
  <c r="K1157"/>
  <c r="K1093"/>
  <c r="K1029"/>
  <c r="K965"/>
  <c r="K1469"/>
  <c r="K1356"/>
  <c r="K1604"/>
  <c r="K1403"/>
  <c r="K1333"/>
  <c r="K1243"/>
  <c r="K1171"/>
  <c r="K1485"/>
  <c r="K1310"/>
  <c r="K1493"/>
  <c r="K1374"/>
  <c r="K1293"/>
  <c r="K1209"/>
  <c r="K1145"/>
  <c r="K1081"/>
  <c r="K1017"/>
  <c r="K953"/>
  <c r="K1437"/>
  <c r="K1270"/>
  <c r="K1188"/>
  <c r="K1124"/>
  <c r="K1060"/>
  <c r="K996"/>
  <c r="K932"/>
  <c r="K868"/>
  <c r="K804"/>
  <c r="K1468"/>
  <c r="K1370"/>
  <c r="K1285"/>
  <c r="K1199"/>
  <c r="K1135"/>
  <c r="K1071"/>
  <c r="K1007"/>
  <c r="K943"/>
  <c r="K879"/>
  <c r="K815"/>
  <c r="K1476"/>
  <c r="K1300"/>
  <c r="K1067"/>
  <c r="K929"/>
  <c r="K907"/>
  <c r="K885"/>
  <c r="K865"/>
  <c r="K843"/>
  <c r="K684"/>
  <c r="K1939"/>
  <c r="K1905"/>
  <c r="K1873"/>
  <c r="K1937"/>
  <c r="K1946"/>
  <c r="K1911"/>
  <c r="K1879"/>
  <c r="K1849"/>
  <c r="K1914"/>
  <c r="K1858"/>
  <c r="K1784"/>
  <c r="K1705"/>
  <c r="K1902"/>
  <c r="K1870"/>
  <c r="K1799"/>
  <c r="K1558"/>
  <c r="K1494"/>
  <c r="K1430"/>
  <c r="K1668"/>
  <c r="K1657"/>
  <c r="K1664"/>
  <c r="K1595"/>
  <c r="K1531"/>
  <c r="K1451"/>
  <c r="K1298"/>
  <c r="K1213"/>
  <c r="K1149"/>
  <c r="K1085"/>
  <c r="K1021"/>
  <c r="K957"/>
  <c r="K1459"/>
  <c r="K1350"/>
  <c r="K1572"/>
  <c r="K1395"/>
  <c r="K1322"/>
  <c r="K1237"/>
  <c r="K1163"/>
  <c r="K1475"/>
  <c r="K1284"/>
  <c r="K1483"/>
  <c r="K1363"/>
  <c r="K1282"/>
  <c r="K1201"/>
  <c r="K1137"/>
  <c r="K1073"/>
  <c r="K1009"/>
  <c r="K945"/>
  <c r="K1427"/>
  <c r="K1244"/>
  <c r="K1180"/>
  <c r="K1116"/>
  <c r="K1052"/>
  <c r="K988"/>
  <c r="K924"/>
  <c r="K860"/>
  <c r="K796"/>
  <c r="K1445"/>
  <c r="K1355"/>
  <c r="K1274"/>
  <c r="K1191"/>
  <c r="K1127"/>
  <c r="K1063"/>
  <c r="K999"/>
  <c r="K935"/>
  <c r="K871"/>
  <c r="K807"/>
  <c r="K1453"/>
  <c r="K1294"/>
  <c r="K1035"/>
  <c r="K925"/>
  <c r="K905"/>
  <c r="K883"/>
  <c r="K861"/>
  <c r="K841"/>
  <c r="K750"/>
  <c r="K2624"/>
  <c r="O2624" s="1"/>
  <c r="K1933"/>
  <c r="K1901"/>
  <c r="K1869"/>
  <c r="K1934"/>
  <c r="K1942"/>
  <c r="K1907"/>
  <c r="K1875"/>
  <c r="K1845"/>
  <c r="K1782"/>
  <c r="K1850"/>
  <c r="K1751"/>
  <c r="K1702"/>
  <c r="K1898"/>
  <c r="K1862"/>
  <c r="K1695"/>
  <c r="K1550"/>
  <c r="K1486"/>
  <c r="K1422"/>
  <c r="K1778"/>
  <c r="O1778" s="1"/>
  <c r="K1742"/>
  <c r="O1742" s="1"/>
  <c r="K1658"/>
  <c r="K1587"/>
  <c r="K1523"/>
  <c r="K1420"/>
  <c r="K1283"/>
  <c r="K1205"/>
  <c r="K1141"/>
  <c r="K1077"/>
  <c r="K1013"/>
  <c r="K949"/>
  <c r="K1428"/>
  <c r="K1324"/>
  <c r="K1540"/>
  <c r="K1387"/>
  <c r="K1307"/>
  <c r="K1221"/>
  <c r="K1155"/>
  <c r="K1444"/>
  <c r="K1278"/>
  <c r="K1452"/>
  <c r="K1357"/>
  <c r="K1267"/>
  <c r="K1193"/>
  <c r="K1129"/>
  <c r="K1065"/>
  <c r="K1001"/>
  <c r="K1605"/>
  <c r="K1366"/>
  <c r="K1238"/>
  <c r="K1172"/>
  <c r="K1108"/>
  <c r="K1044"/>
  <c r="K980"/>
  <c r="K916"/>
  <c r="K852"/>
  <c r="K1651"/>
  <c r="K1435"/>
  <c r="K1349"/>
  <c r="K1259"/>
  <c r="K1183"/>
  <c r="K1119"/>
  <c r="K1055"/>
  <c r="K991"/>
  <c r="K927"/>
  <c r="K863"/>
  <c r="K799"/>
  <c r="K1443"/>
  <c r="K1268"/>
  <c r="K1003"/>
  <c r="K923"/>
  <c r="K901"/>
  <c r="K881"/>
  <c r="K859"/>
  <c r="K813"/>
  <c r="K729"/>
  <c r="K248"/>
  <c r="K2627"/>
  <c r="O2627" s="1"/>
  <c r="K1929"/>
  <c r="K1897"/>
  <c r="K1865"/>
  <c r="K1930"/>
  <c r="K1938"/>
  <c r="K1903"/>
  <c r="K1871"/>
  <c r="K1841"/>
  <c r="K1753"/>
  <c r="K1846"/>
  <c r="K1743"/>
  <c r="K1685"/>
  <c r="K1894"/>
  <c r="K1854"/>
  <c r="K1606"/>
  <c r="K1542"/>
  <c r="K1478"/>
  <c r="K1414"/>
  <c r="K1763"/>
  <c r="K1692"/>
  <c r="K1655"/>
  <c r="K1579"/>
  <c r="K1596"/>
  <c r="K1362"/>
  <c r="K1277"/>
  <c r="K1197"/>
  <c r="K1133"/>
  <c r="K1069"/>
  <c r="K1005"/>
  <c r="K941"/>
  <c r="K1405"/>
  <c r="K1318"/>
  <c r="K1500"/>
  <c r="K1379"/>
  <c r="K1301"/>
  <c r="K1211"/>
  <c r="K1147"/>
  <c r="K1421"/>
  <c r="K1252"/>
  <c r="K1429"/>
  <c r="K1346"/>
  <c r="K1261"/>
  <c r="K1185"/>
  <c r="K1121"/>
  <c r="K1057"/>
  <c r="K993"/>
  <c r="K1573"/>
  <c r="K1340"/>
  <c r="K1222"/>
  <c r="K1164"/>
  <c r="K1100"/>
  <c r="K1036"/>
  <c r="K972"/>
  <c r="K908"/>
  <c r="K844"/>
  <c r="K1588"/>
  <c r="K1404"/>
  <c r="K1338"/>
  <c r="K1253"/>
  <c r="K1175"/>
  <c r="K1111"/>
  <c r="K1047"/>
  <c r="K983"/>
  <c r="K919"/>
  <c r="K855"/>
  <c r="K791"/>
  <c r="K1412"/>
  <c r="K1262"/>
  <c r="K971"/>
  <c r="K921"/>
  <c r="K899"/>
  <c r="K877"/>
  <c r="K857"/>
  <c r="K811"/>
  <c r="K274"/>
  <c r="K2619"/>
  <c r="O2619" s="1"/>
  <c r="K1925"/>
  <c r="K1893"/>
  <c r="K1861"/>
  <c r="K1926"/>
  <c r="K1931"/>
  <c r="K1899"/>
  <c r="K1867"/>
  <c r="K1837"/>
  <c r="K1745"/>
  <c r="K1842"/>
  <c r="K1699"/>
  <c r="K1679"/>
  <c r="K1890"/>
  <c r="K1848"/>
  <c r="K1598"/>
  <c r="K1534"/>
  <c r="K1470"/>
  <c r="K1406"/>
  <c r="K1698"/>
  <c r="K1686"/>
  <c r="K1781"/>
  <c r="K1571"/>
  <c r="K1564"/>
  <c r="K1347"/>
  <c r="K1266"/>
  <c r="K1189"/>
  <c r="K1125"/>
  <c r="K1061"/>
  <c r="K997"/>
  <c r="K1589"/>
  <c r="K1397"/>
  <c r="K1292"/>
  <c r="K1477"/>
  <c r="K1371"/>
  <c r="K1290"/>
  <c r="K1203"/>
  <c r="K1597"/>
  <c r="K1411"/>
  <c r="K1246"/>
  <c r="K1419"/>
  <c r="K1331"/>
  <c r="K1250"/>
  <c r="K1177"/>
  <c r="K1113"/>
  <c r="K1049"/>
  <c r="K985"/>
  <c r="K1541"/>
  <c r="K1334"/>
  <c r="K1217"/>
  <c r="K1156"/>
  <c r="K1092"/>
  <c r="K1028"/>
  <c r="K964"/>
  <c r="K900"/>
  <c r="K836"/>
  <c r="K1556"/>
  <c r="K1396"/>
  <c r="K1323"/>
  <c r="K1242"/>
  <c r="K1167"/>
  <c r="K1103"/>
  <c r="K1039"/>
  <c r="K975"/>
  <c r="K911"/>
  <c r="K847"/>
  <c r="K1581"/>
  <c r="K1364"/>
  <c r="K1236"/>
  <c r="K939"/>
  <c r="K917"/>
  <c r="K897"/>
  <c r="K875"/>
  <c r="K853"/>
  <c r="K809"/>
  <c r="K39"/>
  <c r="K1857"/>
  <c r="K1863"/>
  <c r="K1690"/>
  <c r="K1590"/>
  <c r="K1682"/>
  <c r="K1532"/>
  <c r="K1117"/>
  <c r="K1389"/>
  <c r="K1275"/>
  <c r="K1580"/>
  <c r="K1169"/>
  <c r="K1501"/>
  <c r="K1084"/>
  <c r="K828"/>
  <c r="K1227"/>
  <c r="K967"/>
  <c r="K1358"/>
  <c r="K893"/>
  <c r="K539"/>
  <c r="K837"/>
  <c r="K733"/>
  <c r="K827"/>
  <c r="K688"/>
  <c r="O688" s="1"/>
  <c r="K1059"/>
  <c r="K742"/>
  <c r="K664"/>
  <c r="K535"/>
  <c r="K486"/>
  <c r="K576"/>
  <c r="K142"/>
  <c r="K397"/>
  <c r="J265"/>
  <c r="K265" s="1"/>
  <c r="O265" s="1"/>
  <c r="K570"/>
  <c r="K446"/>
  <c r="J366"/>
  <c r="K366" s="1"/>
  <c r="O366" s="1"/>
  <c r="K538"/>
  <c r="O538" s="1"/>
  <c r="J581"/>
  <c r="K581" s="1"/>
  <c r="O581" s="1"/>
  <c r="J444"/>
  <c r="K444" s="1"/>
  <c r="O444" s="1"/>
  <c r="K566"/>
  <c r="K582"/>
  <c r="K481"/>
  <c r="J600"/>
  <c r="K600" s="1"/>
  <c r="O600" s="1"/>
  <c r="K683"/>
  <c r="O683" s="1"/>
  <c r="K550"/>
  <c r="K679"/>
  <c r="K743"/>
  <c r="K950"/>
  <c r="K1078"/>
  <c r="K944"/>
  <c r="K1182"/>
  <c r="K842"/>
  <c r="K874"/>
  <c r="K906"/>
  <c r="K938"/>
  <c r="K1066"/>
  <c r="K1200"/>
  <c r="K878"/>
  <c r="K968"/>
  <c r="K1198"/>
  <c r="K1026"/>
  <c r="K1152"/>
  <c r="K1088"/>
  <c r="K745"/>
  <c r="K986"/>
  <c r="K1114"/>
  <c r="K984"/>
  <c r="K1208"/>
  <c r="K1343"/>
  <c r="K1513"/>
  <c r="K1594"/>
  <c r="K1289"/>
  <c r="K1441"/>
  <c r="K1609"/>
  <c r="K1336"/>
  <c r="K1497"/>
  <c r="K1586"/>
  <c r="K1329"/>
  <c r="K1450"/>
  <c r="K1648"/>
  <c r="K1312"/>
  <c r="K1481"/>
  <c r="K1578"/>
  <c r="K1305"/>
  <c r="K1479"/>
  <c r="K1239"/>
  <c r="K1367"/>
  <c r="K1465"/>
  <c r="K1570"/>
  <c r="K1281"/>
  <c r="K1432"/>
  <c r="K1752"/>
  <c r="K2000"/>
  <c r="K1748"/>
  <c r="K1700"/>
  <c r="K1796"/>
  <c r="K1741"/>
  <c r="K1772"/>
  <c r="K1960"/>
  <c r="O1960" s="1"/>
  <c r="K1944"/>
  <c r="K2032"/>
  <c r="K2441"/>
  <c r="K2628"/>
  <c r="O2628" s="1"/>
  <c r="K1844"/>
  <c r="K1235"/>
  <c r="K1031"/>
  <c r="K955"/>
  <c r="K496"/>
  <c r="K536"/>
  <c r="K674"/>
  <c r="J438"/>
  <c r="K438" s="1"/>
  <c r="O438" s="1"/>
  <c r="J594"/>
  <c r="K594" s="1"/>
  <c r="O594" s="1"/>
  <c r="K1136"/>
  <c r="K1158"/>
  <c r="K1024"/>
  <c r="K1311"/>
  <c r="K1304"/>
  <c r="K1569"/>
  <c r="K1552"/>
  <c r="K1335"/>
  <c r="K1399"/>
  <c r="K1904"/>
  <c r="K85"/>
  <c r="K1853"/>
  <c r="K1910"/>
  <c r="K1856"/>
  <c r="K1582"/>
  <c r="K1680"/>
  <c r="K1515"/>
  <c r="K1109"/>
  <c r="K1381"/>
  <c r="K1269"/>
  <c r="K1548"/>
  <c r="K1161"/>
  <c r="K1491"/>
  <c r="K1076"/>
  <c r="K820"/>
  <c r="K1215"/>
  <c r="K959"/>
  <c r="K1332"/>
  <c r="K891"/>
  <c r="K1139"/>
  <c r="K833"/>
  <c r="K1115"/>
  <c r="K825"/>
  <c r="K680"/>
  <c r="K1027"/>
  <c r="K728"/>
  <c r="K572"/>
  <c r="K533"/>
  <c r="K476"/>
  <c r="K569"/>
  <c r="K170"/>
  <c r="K421"/>
  <c r="J270"/>
  <c r="K270" s="1"/>
  <c r="O270" s="1"/>
  <c r="J330"/>
  <c r="K330" s="1"/>
  <c r="O330" s="1"/>
  <c r="J336"/>
  <c r="K336" s="1"/>
  <c r="O336" s="1"/>
  <c r="K477"/>
  <c r="K373"/>
  <c r="K574"/>
  <c r="J624"/>
  <c r="K624" s="1"/>
  <c r="O624" s="1"/>
  <c r="J402"/>
  <c r="K402" s="1"/>
  <c r="O402" s="1"/>
  <c r="K580"/>
  <c r="K687"/>
  <c r="O687" s="1"/>
  <c r="K787"/>
  <c r="K822"/>
  <c r="K978"/>
  <c r="K1106"/>
  <c r="K976"/>
  <c r="K1202"/>
  <c r="K848"/>
  <c r="K880"/>
  <c r="K912"/>
  <c r="K942"/>
  <c r="K1070"/>
  <c r="K1218"/>
  <c r="K886"/>
  <c r="K1000"/>
  <c r="K1225"/>
  <c r="K1030"/>
  <c r="K1174"/>
  <c r="K1120"/>
  <c r="K990"/>
  <c r="K1118"/>
  <c r="K1016"/>
  <c r="K1232"/>
  <c r="K1360"/>
  <c r="K1519"/>
  <c r="K1600"/>
  <c r="K1321"/>
  <c r="K1447"/>
  <c r="K1703"/>
  <c r="K1351"/>
  <c r="K1503"/>
  <c r="K1592"/>
  <c r="K1361"/>
  <c r="K1464"/>
  <c r="K1650"/>
  <c r="K1327"/>
  <c r="K1487"/>
  <c r="K1584"/>
  <c r="K1337"/>
  <c r="K1498"/>
  <c r="K1256"/>
  <c r="K1377"/>
  <c r="K1471"/>
  <c r="K1576"/>
  <c r="K1313"/>
  <c r="K1457"/>
  <c r="K1756"/>
  <c r="K2048"/>
  <c r="K1783"/>
  <c r="K2068"/>
  <c r="K1956"/>
  <c r="K2073"/>
  <c r="K2064"/>
  <c r="K2375"/>
  <c r="K2625"/>
  <c r="O2625" s="1"/>
  <c r="K2630"/>
  <c r="O2630" s="1"/>
  <c r="K1689"/>
  <c r="K977"/>
  <c r="K915"/>
  <c r="K817"/>
  <c r="K531"/>
  <c r="J396"/>
  <c r="K396" s="1"/>
  <c r="O396" s="1"/>
  <c r="J420"/>
  <c r="K420" s="1"/>
  <c r="O420" s="1"/>
  <c r="K1184"/>
  <c r="K1034"/>
  <c r="K1122"/>
  <c r="K1166"/>
  <c r="K1545"/>
  <c r="K1425"/>
  <c r="K1448"/>
  <c r="K1544"/>
  <c r="K1795"/>
  <c r="K2118"/>
  <c r="K2629"/>
  <c r="O2629" s="1"/>
  <c r="K1922"/>
  <c r="K1833"/>
  <c r="K1675"/>
  <c r="K1526"/>
  <c r="K1669"/>
  <c r="K1341"/>
  <c r="K1053"/>
  <c r="K1286"/>
  <c r="K1195"/>
  <c r="K1398"/>
  <c r="K1105"/>
  <c r="K1308"/>
  <c r="K1020"/>
  <c r="K1524"/>
  <c r="K1159"/>
  <c r="K903"/>
  <c r="K1230"/>
  <c r="K873"/>
  <c r="K1107"/>
  <c r="K805"/>
  <c r="K1083"/>
  <c r="K797"/>
  <c r="K734"/>
  <c r="K995"/>
  <c r="K565"/>
  <c r="K567"/>
  <c r="K501"/>
  <c r="K445"/>
  <c r="K549"/>
  <c r="K146"/>
  <c r="J426"/>
  <c r="K426" s="1"/>
  <c r="O426" s="1"/>
  <c r="J260"/>
  <c r="K260" s="1"/>
  <c r="O260" s="1"/>
  <c r="J282"/>
  <c r="K282" s="1"/>
  <c r="O282" s="1"/>
  <c r="K149"/>
  <c r="K161"/>
  <c r="J342"/>
  <c r="K342" s="1"/>
  <c r="O342" s="1"/>
  <c r="J291"/>
  <c r="K291" s="1"/>
  <c r="O291" s="1"/>
  <c r="K355"/>
  <c r="K544"/>
  <c r="K571"/>
  <c r="K726"/>
  <c r="J579"/>
  <c r="K579" s="1"/>
  <c r="O579" s="1"/>
  <c r="J378"/>
  <c r="K378" s="1"/>
  <c r="O378" s="1"/>
  <c r="K649"/>
  <c r="K663"/>
  <c r="J606"/>
  <c r="K606" s="1"/>
  <c r="O606" s="1"/>
  <c r="K738"/>
  <c r="K798"/>
  <c r="K835"/>
  <c r="K534"/>
  <c r="O534" s="1"/>
  <c r="K737"/>
  <c r="K982"/>
  <c r="K1110"/>
  <c r="K1008"/>
  <c r="K1220"/>
  <c r="K850"/>
  <c r="K882"/>
  <c r="K914"/>
  <c r="K970"/>
  <c r="K1098"/>
  <c r="K894"/>
  <c r="K1032"/>
  <c r="K816"/>
  <c r="K1058"/>
  <c r="K1194"/>
  <c r="K1150"/>
  <c r="K792"/>
  <c r="K1018"/>
  <c r="K1146"/>
  <c r="K1048"/>
  <c r="K1247"/>
  <c r="K1410"/>
  <c r="K1530"/>
  <c r="K1647"/>
  <c r="K1353"/>
  <c r="K1466"/>
  <c r="K1240"/>
  <c r="K1368"/>
  <c r="K1522"/>
  <c r="K1607"/>
  <c r="K1376"/>
  <c r="K1489"/>
  <c r="K1766"/>
  <c r="K1344"/>
  <c r="K1506"/>
  <c r="K1599"/>
  <c r="K1369"/>
  <c r="K1512"/>
  <c r="K1271"/>
  <c r="K1385"/>
  <c r="K1490"/>
  <c r="K1591"/>
  <c r="K1345"/>
  <c r="K1463"/>
  <c r="K1779"/>
  <c r="O1779" s="1"/>
  <c r="K1780"/>
  <c r="K1691"/>
  <c r="K1808"/>
  <c r="K2020"/>
  <c r="K1948"/>
  <c r="K2103"/>
  <c r="K2357"/>
  <c r="K2623"/>
  <c r="K1889"/>
  <c r="K1563"/>
  <c r="K1365"/>
  <c r="K1148"/>
  <c r="K1549"/>
  <c r="K979"/>
  <c r="K671"/>
  <c r="K157"/>
  <c r="J285"/>
  <c r="K285" s="1"/>
  <c r="O285" s="1"/>
  <c r="J354"/>
  <c r="K354" s="1"/>
  <c r="O354" s="1"/>
  <c r="J636"/>
  <c r="K636" s="1"/>
  <c r="O636" s="1"/>
  <c r="K834"/>
  <c r="K898"/>
  <c r="K1154"/>
  <c r="K1082"/>
  <c r="K2621"/>
  <c r="O2621" s="1"/>
  <c r="K1918"/>
  <c r="K1800"/>
  <c r="K1671"/>
  <c r="K1518"/>
  <c r="K1787"/>
  <c r="K1330"/>
  <c r="K1045"/>
  <c r="K1260"/>
  <c r="K1187"/>
  <c r="K1390"/>
  <c r="K1097"/>
  <c r="K1302"/>
  <c r="K1012"/>
  <c r="K1509"/>
  <c r="K1151"/>
  <c r="K895"/>
  <c r="K1131"/>
  <c r="K869"/>
  <c r="K1075"/>
  <c r="K801"/>
  <c r="K1051"/>
  <c r="K795"/>
  <c r="K727"/>
  <c r="K963"/>
  <c r="K739"/>
  <c r="O739" s="1"/>
  <c r="K564"/>
  <c r="K661"/>
  <c r="K685"/>
  <c r="K543"/>
  <c r="K154"/>
  <c r="K191"/>
  <c r="O191" s="1"/>
  <c r="K433"/>
  <c r="J276"/>
  <c r="K276" s="1"/>
  <c r="O276" s="1"/>
  <c r="J324"/>
  <c r="K324" s="1"/>
  <c r="O324" s="1"/>
  <c r="K169"/>
  <c r="K379"/>
  <c r="K631"/>
  <c r="K668"/>
  <c r="J648"/>
  <c r="K648" s="1"/>
  <c r="O648" s="1"/>
  <c r="J414"/>
  <c r="K414" s="1"/>
  <c r="O414" s="1"/>
  <c r="J654"/>
  <c r="K654" s="1"/>
  <c r="O654" s="1"/>
  <c r="J306"/>
  <c r="K306" s="1"/>
  <c r="O306" s="1"/>
  <c r="K546"/>
  <c r="K682"/>
  <c r="K691"/>
  <c r="K665"/>
  <c r="K584"/>
  <c r="K740"/>
  <c r="O740" s="1"/>
  <c r="K800"/>
  <c r="K1010"/>
  <c r="K1138"/>
  <c r="K1040"/>
  <c r="K856"/>
  <c r="K888"/>
  <c r="K920"/>
  <c r="K974"/>
  <c r="K1102"/>
  <c r="K786"/>
  <c r="K902"/>
  <c r="K1064"/>
  <c r="K818"/>
  <c r="K1062"/>
  <c r="K1170"/>
  <c r="K794"/>
  <c r="K1022"/>
  <c r="K1168"/>
  <c r="K1080"/>
  <c r="K1264"/>
  <c r="K1424"/>
  <c r="K1536"/>
  <c r="K1653"/>
  <c r="K1378"/>
  <c r="K1480"/>
  <c r="K1255"/>
  <c r="K1408"/>
  <c r="K1528"/>
  <c r="K1384"/>
  <c r="K1495"/>
  <c r="K1231"/>
  <c r="K1359"/>
  <c r="K1520"/>
  <c r="K1610"/>
  <c r="K1409"/>
  <c r="K1529"/>
  <c r="K1288"/>
  <c r="K1393"/>
  <c r="K1504"/>
  <c r="K1602"/>
  <c r="K1375"/>
  <c r="K1482"/>
  <c r="K1785"/>
  <c r="K1652"/>
  <c r="K1786"/>
  <c r="K1749"/>
  <c r="K1687"/>
  <c r="K2040"/>
  <c r="O2040" s="1"/>
  <c r="K2036"/>
  <c r="K2088"/>
  <c r="K2108"/>
  <c r="K2423"/>
  <c r="K1838"/>
  <c r="K1181"/>
  <c r="K1348"/>
  <c r="K892"/>
  <c r="K747"/>
  <c r="O747" s="1"/>
  <c r="K746"/>
  <c r="K577"/>
  <c r="K145"/>
  <c r="J583"/>
  <c r="K583" s="1"/>
  <c r="O583" s="1"/>
  <c r="K548"/>
  <c r="K1046"/>
  <c r="K930"/>
  <c r="K994"/>
  <c r="K1226"/>
  <c r="K1402"/>
  <c r="K1265"/>
  <c r="K1241"/>
  <c r="K1678"/>
  <c r="K1688"/>
  <c r="K1920"/>
  <c r="K1921"/>
  <c r="K1927"/>
  <c r="K1681"/>
  <c r="K1886"/>
  <c r="K1462"/>
  <c r="K1706"/>
  <c r="K1251"/>
  <c r="K989"/>
  <c r="K1467"/>
  <c r="K1565"/>
  <c r="K1325"/>
  <c r="K1041"/>
  <c r="K1212"/>
  <c r="K956"/>
  <c r="K1388"/>
  <c r="K1095"/>
  <c r="K839"/>
  <c r="K937"/>
  <c r="K851"/>
  <c r="K1043"/>
  <c r="K814"/>
  <c r="K1019"/>
  <c r="K793"/>
  <c r="K563"/>
  <c r="K821"/>
  <c r="K686"/>
  <c r="K749"/>
  <c r="O749" s="1"/>
  <c r="K545"/>
  <c r="K573"/>
  <c r="K529"/>
  <c r="K195"/>
  <c r="O195" s="1"/>
  <c r="K439"/>
  <c r="K532"/>
  <c r="J312"/>
  <c r="K312" s="1"/>
  <c r="O312" s="1"/>
  <c r="K385"/>
  <c r="J273"/>
  <c r="K273" s="1"/>
  <c r="O273" s="1"/>
  <c r="K670"/>
  <c r="J618"/>
  <c r="K618" s="1"/>
  <c r="O618" s="1"/>
  <c r="J642"/>
  <c r="K642" s="1"/>
  <c r="O642" s="1"/>
  <c r="J612"/>
  <c r="K612" s="1"/>
  <c r="O612" s="1"/>
  <c r="K578"/>
  <c r="K790"/>
  <c r="K672"/>
  <c r="J588"/>
  <c r="K588" s="1"/>
  <c r="O588" s="1"/>
  <c r="K806"/>
  <c r="K681"/>
  <c r="O681" s="1"/>
  <c r="K547"/>
  <c r="J360"/>
  <c r="K360" s="1"/>
  <c r="O360" s="1"/>
  <c r="K662"/>
  <c r="K802"/>
  <c r="K1014"/>
  <c r="K1142"/>
  <c r="K1072"/>
  <c r="K858"/>
  <c r="K890"/>
  <c r="K922"/>
  <c r="K1002"/>
  <c r="K1130"/>
  <c r="K846"/>
  <c r="K910"/>
  <c r="K1096"/>
  <c r="K962"/>
  <c r="K1090"/>
  <c r="K960"/>
  <c r="K1192"/>
  <c r="K824"/>
  <c r="K1050"/>
  <c r="K1190"/>
  <c r="K1112"/>
  <c r="K1279"/>
  <c r="K1449"/>
  <c r="K1551"/>
  <c r="K1660"/>
  <c r="K1386"/>
  <c r="K1505"/>
  <c r="K1272"/>
  <c r="K1433"/>
  <c r="K1543"/>
  <c r="K1224"/>
  <c r="K1392"/>
  <c r="K1514"/>
  <c r="K1248"/>
  <c r="K1417"/>
  <c r="K1535"/>
  <c r="K1747"/>
  <c r="K1415"/>
  <c r="K1561"/>
  <c r="K1303"/>
  <c r="K1401"/>
  <c r="K1527"/>
  <c r="K1608"/>
  <c r="K1383"/>
  <c r="K1496"/>
  <c r="K1788"/>
  <c r="K1684"/>
  <c r="K1794"/>
  <c r="K1801"/>
  <c r="K1693"/>
  <c r="K1859"/>
  <c r="K1908"/>
  <c r="K2093"/>
  <c r="K2056"/>
  <c r="K2381"/>
  <c r="K2399"/>
  <c r="K748"/>
  <c r="K162"/>
  <c r="K558"/>
  <c r="K689"/>
  <c r="K866"/>
  <c r="K926"/>
  <c r="K954"/>
  <c r="K1568"/>
  <c r="K1560"/>
  <c r="K1442"/>
  <c r="K1426"/>
  <c r="K1704"/>
  <c r="K1697"/>
  <c r="K2321"/>
  <c r="K2626"/>
  <c r="O2626" s="1"/>
  <c r="K1917"/>
  <c r="K1923"/>
  <c r="K1677"/>
  <c r="K1882"/>
  <c r="K1454"/>
  <c r="K1649"/>
  <c r="K1245"/>
  <c r="K981"/>
  <c r="K1436"/>
  <c r="K1533"/>
  <c r="K1314"/>
  <c r="K1033"/>
  <c r="K1204"/>
  <c r="K948"/>
  <c r="K1380"/>
  <c r="K1087"/>
  <c r="K831"/>
  <c r="K933"/>
  <c r="K849"/>
  <c r="K1011"/>
  <c r="K788"/>
  <c r="K987"/>
  <c r="K751"/>
  <c r="K541"/>
  <c r="K819"/>
  <c r="K675"/>
  <c r="K669"/>
  <c r="K542"/>
  <c r="K540"/>
  <c r="K474"/>
  <c r="K158"/>
  <c r="K475"/>
  <c r="K554"/>
  <c r="K537"/>
  <c r="J279"/>
  <c r="K279" s="1"/>
  <c r="O279" s="1"/>
  <c r="J226"/>
  <c r="K343"/>
  <c r="J585"/>
  <c r="K585" s="1"/>
  <c r="O585" s="1"/>
  <c r="J432"/>
  <c r="K432" s="1"/>
  <c r="O432" s="1"/>
  <c r="J348"/>
  <c r="K348" s="1"/>
  <c r="O348" s="1"/>
  <c r="K482"/>
  <c r="O482" s="1"/>
  <c r="K803"/>
  <c r="K838"/>
  <c r="K676"/>
  <c r="J408"/>
  <c r="K408" s="1"/>
  <c r="O408" s="1"/>
  <c r="J630"/>
  <c r="K630" s="1"/>
  <c r="O630" s="1"/>
  <c r="K830"/>
  <c r="K832"/>
  <c r="K1042"/>
  <c r="K1162"/>
  <c r="K1104"/>
  <c r="K808"/>
  <c r="K864"/>
  <c r="K896"/>
  <c r="K928"/>
  <c r="K1006"/>
  <c r="K1134"/>
  <c r="K854"/>
  <c r="K918"/>
  <c r="K1128"/>
  <c r="K966"/>
  <c r="K1094"/>
  <c r="K992"/>
  <c r="K1214"/>
  <c r="K826"/>
  <c r="K1054"/>
  <c r="K1210"/>
  <c r="K1144"/>
  <c r="K1296"/>
  <c r="K1455"/>
  <c r="K1562"/>
  <c r="K1755"/>
  <c r="K1394"/>
  <c r="K1511"/>
  <c r="K1287"/>
  <c r="K1439"/>
  <c r="K1554"/>
  <c r="K1233"/>
  <c r="K1400"/>
  <c r="K1537"/>
  <c r="K1263"/>
  <c r="K1423"/>
  <c r="K1546"/>
  <c r="K1216"/>
  <c r="K1434"/>
  <c r="K1593"/>
  <c r="K1320"/>
  <c r="K1407"/>
  <c r="K1538"/>
  <c r="K1391"/>
  <c r="K1521"/>
  <c r="K1793"/>
  <c r="K1696"/>
  <c r="K1815"/>
  <c r="K1805"/>
  <c r="K1701"/>
  <c r="K1683"/>
  <c r="K1900"/>
  <c r="K1916"/>
  <c r="K2113"/>
  <c r="K2618"/>
  <c r="O2618" s="1"/>
  <c r="K1895"/>
  <c r="K1557"/>
  <c r="K1317"/>
  <c r="K1123"/>
  <c r="K586"/>
  <c r="J390"/>
  <c r="K390" s="1"/>
  <c r="O390" s="1"/>
  <c r="K673"/>
  <c r="K810"/>
  <c r="K862"/>
  <c r="K1228"/>
  <c r="K1474"/>
  <c r="K1458"/>
  <c r="K1280"/>
  <c r="K1646"/>
  <c r="K1553"/>
  <c r="K1811"/>
  <c r="K1936"/>
  <c r="K2620"/>
  <c r="O2620" s="1"/>
  <c r="K1885"/>
  <c r="K1354"/>
  <c r="K1517"/>
  <c r="K789"/>
  <c r="J660"/>
  <c r="K660" s="1"/>
  <c r="O660" s="1"/>
  <c r="K840"/>
  <c r="K934"/>
  <c r="K958"/>
  <c r="K1257"/>
  <c r="K1431"/>
  <c r="K1352"/>
  <c r="K735"/>
  <c r="K969"/>
  <c r="K491"/>
  <c r="K667"/>
  <c r="K1074"/>
  <c r="K1126"/>
  <c r="K1319"/>
  <c r="K1744"/>
  <c r="K655"/>
  <c r="K1297"/>
  <c r="K1940"/>
  <c r="K1891"/>
  <c r="K1342"/>
  <c r="K913"/>
  <c r="K666"/>
  <c r="K166"/>
  <c r="K678"/>
  <c r="J255"/>
  <c r="K255" s="1"/>
  <c r="O255" s="1"/>
  <c r="K194"/>
  <c r="O194" s="1"/>
  <c r="J372"/>
  <c r="K372" s="1"/>
  <c r="O372" s="1"/>
  <c r="K677"/>
  <c r="K872"/>
  <c r="K1176"/>
  <c r="K1086"/>
  <c r="K1416"/>
  <c r="K1601"/>
  <c r="K1440"/>
  <c r="K1694"/>
  <c r="K1229"/>
  <c r="K1559"/>
  <c r="K1840"/>
  <c r="K947"/>
  <c r="K936"/>
  <c r="K1186"/>
  <c r="K1456"/>
  <c r="K870"/>
  <c r="K1659"/>
  <c r="K1834"/>
  <c r="K575"/>
  <c r="K165"/>
  <c r="J384"/>
  <c r="K384" s="1"/>
  <c r="O384" s="1"/>
  <c r="K568"/>
  <c r="K946"/>
  <c r="K904"/>
  <c r="K998"/>
  <c r="K952"/>
  <c r="K1577"/>
  <c r="K1295"/>
  <c r="K1665"/>
  <c r="K1140"/>
  <c r="K736"/>
  <c r="K731"/>
  <c r="K744"/>
  <c r="K690"/>
  <c r="K1206"/>
  <c r="K1038"/>
  <c r="K1328"/>
  <c r="K1472"/>
  <c r="K1567"/>
  <c r="K1249"/>
  <c r="K2495"/>
  <c r="K1056"/>
  <c r="K1173"/>
  <c r="K741"/>
  <c r="K1473"/>
  <c r="K1769"/>
  <c r="K2622"/>
  <c r="O2622" s="1"/>
  <c r="K1525"/>
  <c r="K1023"/>
  <c r="K1091"/>
  <c r="K637"/>
  <c r="K497"/>
  <c r="K361"/>
  <c r="K1555"/>
  <c r="K884"/>
  <c r="K829"/>
  <c r="K530"/>
  <c r="K1160"/>
  <c r="K1178"/>
  <c r="K1488"/>
  <c r="K1575"/>
  <c r="K1273"/>
  <c r="K1418"/>
  <c r="K1757"/>
  <c r="K1952"/>
  <c r="K1306"/>
  <c r="K1583"/>
  <c r="K1585"/>
  <c r="K1932"/>
  <c r="K595"/>
  <c r="K2183"/>
  <c r="K2177"/>
  <c r="K1823"/>
  <c r="K2171"/>
  <c r="K1654"/>
  <c r="K2417"/>
  <c r="K613"/>
  <c r="K2315"/>
  <c r="K2411"/>
  <c r="K2123"/>
  <c r="O2123" s="1"/>
  <c r="K153"/>
  <c r="K1912"/>
  <c r="K313"/>
  <c r="K409"/>
  <c r="K487"/>
  <c r="K2159"/>
  <c r="K1855"/>
  <c r="K147"/>
  <c r="K349"/>
  <c r="K427"/>
  <c r="K2339"/>
  <c r="K2153"/>
  <c r="K1996"/>
  <c r="K2465"/>
  <c r="K2231"/>
  <c r="K619"/>
  <c r="K2285"/>
  <c r="K2024"/>
  <c r="K2345"/>
  <c r="K2261"/>
  <c r="K138"/>
  <c r="K164"/>
  <c r="K1827"/>
  <c r="K156"/>
  <c r="K2213"/>
  <c r="K643"/>
  <c r="K492"/>
  <c r="O492" s="1"/>
  <c r="K2052"/>
  <c r="K1872"/>
  <c r="K172"/>
  <c r="K337"/>
  <c r="K176"/>
  <c r="K168"/>
  <c r="K251"/>
  <c r="K1831"/>
  <c r="K1988"/>
  <c r="K2483"/>
  <c r="K307"/>
  <c r="K2405"/>
  <c r="K2435"/>
  <c r="K120"/>
  <c r="K1851"/>
  <c r="K1802"/>
  <c r="K367"/>
  <c r="K2363"/>
  <c r="K2044"/>
  <c r="K2028"/>
  <c r="K2387"/>
  <c r="K2297"/>
  <c r="K607"/>
  <c r="K2237"/>
  <c r="K2165"/>
  <c r="K1760"/>
  <c r="K2219"/>
  <c r="K1864"/>
  <c r="K1843"/>
  <c r="K1835"/>
  <c r="K562"/>
  <c r="K1868"/>
  <c r="K1976"/>
  <c r="O1976" s="1"/>
  <c r="K2129"/>
  <c r="K2279"/>
  <c r="O2279" s="1"/>
  <c r="K1972"/>
  <c r="K2016"/>
  <c r="K160"/>
  <c r="K1819"/>
  <c r="K1876"/>
  <c r="K2195"/>
  <c r="K589"/>
  <c r="K2459"/>
  <c r="K1896"/>
  <c r="K2447"/>
  <c r="K1928"/>
  <c r="K2477"/>
  <c r="K2083"/>
  <c r="K2453"/>
  <c r="K1884"/>
  <c r="K2513"/>
  <c r="K2012"/>
  <c r="K190"/>
  <c r="K2201"/>
  <c r="K2141"/>
  <c r="K186"/>
  <c r="K2060"/>
  <c r="K193"/>
  <c r="K331"/>
  <c r="K403"/>
  <c r="O403" s="1"/>
  <c r="K2393"/>
  <c r="K1924"/>
  <c r="K1888"/>
  <c r="K730"/>
  <c r="K1880"/>
  <c r="K261"/>
  <c r="K2351"/>
  <c r="K1964"/>
  <c r="K1984"/>
  <c r="K1775"/>
  <c r="K2243"/>
  <c r="K2429"/>
  <c r="K2225"/>
  <c r="K2267"/>
  <c r="K266"/>
  <c r="K325"/>
  <c r="K2273"/>
  <c r="K150"/>
  <c r="K2135"/>
  <c r="K625"/>
  <c r="K2255"/>
  <c r="K2519"/>
  <c r="K2147"/>
  <c r="K415"/>
  <c r="K2249"/>
  <c r="K1892"/>
  <c r="K2501"/>
  <c r="K1992"/>
  <c r="K2291"/>
  <c r="K1674"/>
  <c r="K2471"/>
  <c r="K2008"/>
  <c r="K2303"/>
  <c r="K144"/>
  <c r="K319"/>
  <c r="K1847"/>
  <c r="K1839"/>
  <c r="K2507"/>
  <c r="K1980"/>
  <c r="K2309"/>
  <c r="K2489"/>
  <c r="K2207"/>
  <c r="K2369"/>
  <c r="K141"/>
  <c r="K2004"/>
  <c r="K2333"/>
  <c r="K1666"/>
  <c r="K2189"/>
  <c r="K2327"/>
  <c r="K1670"/>
  <c r="K1662"/>
  <c r="K601"/>
  <c r="K301"/>
  <c r="K1968"/>
  <c r="K391"/>
  <c r="O391" s="1"/>
  <c r="K2567"/>
  <c r="K2549"/>
  <c r="K2573"/>
  <c r="K2543"/>
  <c r="K2555"/>
  <c r="K2531"/>
  <c r="K2579"/>
  <c r="K2561"/>
  <c r="K2525"/>
  <c r="K2537"/>
  <c r="G36" i="12"/>
  <c r="W14"/>
  <c r="H35"/>
  <c r="N44"/>
  <c r="F36"/>
  <c r="K28"/>
  <c r="W12"/>
  <c r="T21"/>
  <c r="M32"/>
  <c r="M31"/>
  <c r="N25"/>
  <c r="N26"/>
  <c r="K32"/>
  <c r="K31"/>
  <c r="G40"/>
  <c r="G39"/>
  <c r="J42"/>
  <c r="J41"/>
  <c r="O46"/>
  <c r="F43"/>
  <c r="W18"/>
  <c r="F44"/>
  <c r="H37"/>
  <c r="H38"/>
  <c r="I38"/>
  <c r="I37"/>
  <c r="W19"/>
  <c r="F45"/>
  <c r="F46"/>
  <c r="J40"/>
  <c r="J39"/>
  <c r="Q45"/>
  <c r="Q46"/>
  <c r="M44"/>
  <c r="W16"/>
  <c r="F40"/>
  <c r="F39"/>
  <c r="I39"/>
  <c r="I40"/>
  <c r="K46"/>
  <c r="K45"/>
  <c r="L26"/>
  <c r="L25"/>
  <c r="G33"/>
  <c r="G34"/>
  <c r="I41"/>
  <c r="I42"/>
  <c r="M37"/>
  <c r="M38"/>
  <c r="H32"/>
  <c r="H31"/>
  <c r="J34"/>
  <c r="J33"/>
  <c r="I27"/>
  <c r="I48" s="1"/>
  <c r="I28"/>
  <c r="P28"/>
  <c r="P27"/>
  <c r="G41"/>
  <c r="G42"/>
  <c r="N45"/>
  <c r="N46"/>
  <c r="N29"/>
  <c r="N30"/>
  <c r="M27"/>
  <c r="M28"/>
  <c r="Q35"/>
  <c r="Q36"/>
  <c r="Q25"/>
  <c r="Q26"/>
  <c r="L43"/>
  <c r="L44"/>
  <c r="O34"/>
  <c r="O33"/>
  <c r="J25"/>
  <c r="J26"/>
  <c r="O41"/>
  <c r="O42"/>
  <c r="M33"/>
  <c r="M34"/>
  <c r="G45"/>
  <c r="G46"/>
  <c r="N37"/>
  <c r="N38"/>
  <c r="H27"/>
  <c r="H28"/>
  <c r="G37"/>
  <c r="G38"/>
  <c r="P44"/>
  <c r="P43"/>
  <c r="L41"/>
  <c r="L42"/>
  <c r="Q33"/>
  <c r="Q34"/>
  <c r="K33"/>
  <c r="K34"/>
  <c r="J35"/>
  <c r="J36"/>
  <c r="P30"/>
  <c r="P29"/>
  <c r="N42"/>
  <c r="N41"/>
  <c r="K25"/>
  <c r="K26"/>
  <c r="N27"/>
  <c r="N28"/>
  <c r="G30"/>
  <c r="G29"/>
  <c r="N35"/>
  <c r="N36"/>
  <c r="J43"/>
  <c r="J44"/>
  <c r="L33"/>
  <c r="L34"/>
  <c r="N34"/>
  <c r="N33"/>
  <c r="K35"/>
  <c r="K36"/>
  <c r="O35"/>
  <c r="O36"/>
  <c r="L35"/>
  <c r="L36"/>
  <c r="O30"/>
  <c r="O29"/>
  <c r="M41"/>
  <c r="M42"/>
  <c r="M25"/>
  <c r="M26"/>
  <c r="L29"/>
  <c r="L30"/>
  <c r="L27"/>
  <c r="L28"/>
  <c r="P32"/>
  <c r="P31"/>
  <c r="O43"/>
  <c r="O44"/>
  <c r="O40"/>
  <c r="O39"/>
  <c r="F42"/>
  <c r="W17"/>
  <c r="F41"/>
  <c r="W9"/>
  <c r="F25"/>
  <c r="F26"/>
  <c r="J28"/>
  <c r="J27"/>
  <c r="K43"/>
  <c r="K44"/>
  <c r="G32"/>
  <c r="G31"/>
  <c r="F28"/>
  <c r="W10"/>
  <c r="F27"/>
  <c r="O26"/>
  <c r="O25"/>
  <c r="O32"/>
  <c r="O31"/>
  <c r="K41"/>
  <c r="K42"/>
  <c r="Q41"/>
  <c r="Q42"/>
  <c r="F34"/>
  <c r="W13"/>
  <c r="F33"/>
  <c r="N40"/>
  <c r="N39"/>
  <c r="L37"/>
  <c r="L38"/>
  <c r="P36"/>
  <c r="P35"/>
  <c r="K37" i="14"/>
  <c r="K38"/>
  <c r="I31"/>
  <c r="I32"/>
  <c r="K33"/>
  <c r="K34"/>
  <c r="H39"/>
  <c r="H40"/>
  <c r="H46"/>
  <c r="H45"/>
  <c r="N49"/>
  <c r="M51"/>
  <c r="M53" s="1"/>
  <c r="H29"/>
  <c r="H30"/>
  <c r="K35"/>
  <c r="K36"/>
  <c r="Q31"/>
  <c r="Q32"/>
  <c r="I28"/>
  <c r="I27"/>
  <c r="I29"/>
  <c r="I30"/>
  <c r="K44"/>
  <c r="K43"/>
  <c r="H35"/>
  <c r="H36"/>
  <c r="I43"/>
  <c r="I44"/>
  <c r="N48"/>
  <c r="G39"/>
  <c r="K26"/>
  <c r="K25"/>
  <c r="I39"/>
  <c r="I40"/>
  <c r="O45"/>
  <c r="O46"/>
  <c r="I48"/>
  <c r="I45"/>
  <c r="I46"/>
  <c r="Q39"/>
  <c r="H43"/>
  <c r="H44"/>
  <c r="O25"/>
  <c r="O26"/>
  <c r="K30"/>
  <c r="K29"/>
  <c r="O41"/>
  <c r="O42"/>
  <c r="H27"/>
  <c r="H28"/>
  <c r="Q44"/>
  <c r="Q43"/>
  <c r="Q42"/>
  <c r="K46"/>
  <c r="K45"/>
  <c r="O33"/>
  <c r="O34"/>
  <c r="J36"/>
  <c r="J49" s="1"/>
  <c r="J35"/>
  <c r="J48" s="1"/>
  <c r="O32"/>
  <c r="O31"/>
  <c r="K42"/>
  <c r="K41"/>
  <c r="Q34"/>
  <c r="Q33"/>
  <c r="N51"/>
  <c r="N53" s="1"/>
  <c r="G32"/>
  <c r="G31"/>
  <c r="L25"/>
  <c r="L26"/>
  <c r="P26"/>
  <c r="P25"/>
  <c r="L45"/>
  <c r="L46"/>
  <c r="F45"/>
  <c r="F46"/>
  <c r="W19"/>
  <c r="F40"/>
  <c r="W16"/>
  <c r="F39"/>
  <c r="P38"/>
  <c r="P37"/>
  <c r="F27"/>
  <c r="F28"/>
  <c r="W10"/>
  <c r="F43"/>
  <c r="F44"/>
  <c r="W18"/>
  <c r="G29"/>
  <c r="G30"/>
  <c r="G41"/>
  <c r="G42"/>
  <c r="G26"/>
  <c r="G25"/>
  <c r="L40"/>
  <c r="L39"/>
  <c r="W17"/>
  <c r="F41"/>
  <c r="F42"/>
  <c r="L42"/>
  <c r="L41"/>
  <c r="G33"/>
  <c r="G34"/>
  <c r="G38"/>
  <c r="G37"/>
  <c r="L29"/>
  <c r="L30"/>
  <c r="P32"/>
  <c r="P31"/>
  <c r="L32"/>
  <c r="L31"/>
  <c r="F34"/>
  <c r="W13"/>
  <c r="F33"/>
  <c r="L27"/>
  <c r="L28"/>
  <c r="P41"/>
  <c r="P42"/>
  <c r="W11"/>
  <c r="P29"/>
  <c r="P30"/>
  <c r="F25"/>
  <c r="W9"/>
  <c r="F26"/>
  <c r="H34"/>
  <c r="H33"/>
  <c r="F35"/>
  <c r="W14"/>
  <c r="F36"/>
  <c r="G43"/>
  <c r="G44"/>
  <c r="G28"/>
  <c r="G27"/>
  <c r="P45"/>
  <c r="P46"/>
  <c r="L37"/>
  <c r="L38"/>
  <c r="P28"/>
  <c r="P27"/>
  <c r="P34"/>
  <c r="P33"/>
  <c r="W15"/>
  <c r="F37"/>
  <c r="F38"/>
  <c r="L44"/>
  <c r="L43"/>
  <c r="F32"/>
  <c r="F31"/>
  <c r="W12"/>
  <c r="G35"/>
  <c r="G36"/>
  <c r="S29" l="1"/>
  <c r="Q49"/>
  <c r="S30"/>
  <c r="K48"/>
  <c r="O48"/>
  <c r="K49"/>
  <c r="K51" s="1"/>
  <c r="K53" s="1"/>
  <c r="I49"/>
  <c r="R29"/>
  <c r="O49"/>
  <c r="Q49" i="12"/>
  <c r="I49"/>
  <c r="I51" s="1"/>
  <c r="H49"/>
  <c r="H48"/>
  <c r="O2668" i="21"/>
  <c r="O2669"/>
  <c r="K226"/>
  <c r="O226" s="1"/>
  <c r="J2673"/>
  <c r="O2665"/>
  <c r="O19"/>
  <c r="O2663" s="1"/>
  <c r="S31" i="12"/>
  <c r="S32"/>
  <c r="S37"/>
  <c r="R40"/>
  <c r="R39"/>
  <c r="S38"/>
  <c r="S36"/>
  <c r="S35"/>
  <c r="G49"/>
  <c r="P48"/>
  <c r="P49"/>
  <c r="J49"/>
  <c r="S46"/>
  <c r="O48"/>
  <c r="Q48"/>
  <c r="S45"/>
  <c r="O49"/>
  <c r="S44"/>
  <c r="J48"/>
  <c r="S39"/>
  <c r="S29"/>
  <c r="R36"/>
  <c r="R46"/>
  <c r="S40"/>
  <c r="S43"/>
  <c r="N49"/>
  <c r="M49"/>
  <c r="R35"/>
  <c r="R45"/>
  <c r="L48"/>
  <c r="S30"/>
  <c r="N48"/>
  <c r="M48"/>
  <c r="R44"/>
  <c r="K49"/>
  <c r="R38"/>
  <c r="L49"/>
  <c r="R43"/>
  <c r="K48"/>
  <c r="R37"/>
  <c r="G48"/>
  <c r="S33"/>
  <c r="R33"/>
  <c r="S42"/>
  <c r="R42"/>
  <c r="S27"/>
  <c r="R27"/>
  <c r="S34"/>
  <c r="R34"/>
  <c r="R26"/>
  <c r="F49"/>
  <c r="S26"/>
  <c r="R29"/>
  <c r="S28"/>
  <c r="R28"/>
  <c r="S25"/>
  <c r="R25"/>
  <c r="F48"/>
  <c r="R30"/>
  <c r="R31"/>
  <c r="R32"/>
  <c r="S41"/>
  <c r="R41"/>
  <c r="J51" i="14"/>
  <c r="J53" s="1"/>
  <c r="R30"/>
  <c r="H48"/>
  <c r="H51" s="1"/>
  <c r="H53" s="1"/>
  <c r="I51"/>
  <c r="I53" s="1"/>
  <c r="H49"/>
  <c r="P49"/>
  <c r="G49"/>
  <c r="L48"/>
  <c r="L51" s="1"/>
  <c r="L53" s="1"/>
  <c r="Q48"/>
  <c r="Q51" s="1"/>
  <c r="Q53" s="1"/>
  <c r="S35"/>
  <c r="R35"/>
  <c r="R31"/>
  <c r="S31"/>
  <c r="S39"/>
  <c r="R39"/>
  <c r="P48"/>
  <c r="P51" s="1"/>
  <c r="P53" s="1"/>
  <c r="S32"/>
  <c r="R32"/>
  <c r="R44"/>
  <c r="S44"/>
  <c r="S26"/>
  <c r="R26"/>
  <c r="F49"/>
  <c r="G48"/>
  <c r="S43"/>
  <c r="R43"/>
  <c r="S40"/>
  <c r="R40"/>
  <c r="L49"/>
  <c r="R38"/>
  <c r="S38"/>
  <c r="F48"/>
  <c r="R25"/>
  <c r="S25"/>
  <c r="S33"/>
  <c r="R33"/>
  <c r="S28"/>
  <c r="R28"/>
  <c r="R46"/>
  <c r="S46"/>
  <c r="S37"/>
  <c r="R37"/>
  <c r="R36"/>
  <c r="S36"/>
  <c r="S42"/>
  <c r="R42"/>
  <c r="R27"/>
  <c r="S27"/>
  <c r="R45"/>
  <c r="S45"/>
  <c r="R34"/>
  <c r="S34"/>
  <c r="S41"/>
  <c r="R41"/>
  <c r="O51" l="1"/>
  <c r="O53" s="1"/>
  <c r="G51"/>
  <c r="G53" s="1"/>
  <c r="Q51" i="12"/>
  <c r="H51"/>
  <c r="K2673" i="21"/>
  <c r="O2664"/>
  <c r="O2673"/>
  <c r="L51" i="12"/>
  <c r="G51"/>
  <c r="S48"/>
  <c r="J51"/>
  <c r="P51"/>
  <c r="M51"/>
  <c r="K51"/>
  <c r="F51"/>
  <c r="O51"/>
  <c r="N51"/>
  <c r="S49"/>
  <c r="S49" i="14"/>
  <c r="S48"/>
  <c r="F51"/>
  <c r="S51" s="1"/>
  <c r="S52" l="1"/>
  <c r="S53" s="1"/>
  <c r="S52" i="12"/>
  <c r="S51"/>
  <c r="T40" i="14"/>
  <c r="O52"/>
  <c r="T35"/>
  <c r="T46"/>
  <c r="T39"/>
  <c r="T33"/>
  <c r="T25"/>
  <c r="T37"/>
  <c r="T32"/>
  <c r="G52"/>
  <c r="T27"/>
  <c r="T38"/>
  <c r="T31"/>
  <c r="T44"/>
  <c r="X5"/>
  <c r="I52"/>
  <c r="T42"/>
  <c r="M52"/>
  <c r="T30"/>
  <c r="P52"/>
  <c r="T34"/>
  <c r="J52"/>
  <c r="T43"/>
  <c r="H52"/>
  <c r="T26"/>
  <c r="T36"/>
  <c r="T45"/>
  <c r="Q52"/>
  <c r="L52"/>
  <c r="T41"/>
  <c r="N52"/>
  <c r="T28"/>
  <c r="T29"/>
  <c r="F52"/>
  <c r="K52"/>
  <c r="T25" i="12" l="1"/>
  <c r="O52"/>
  <c r="X5"/>
  <c r="Q52"/>
  <c r="T30"/>
  <c r="T39"/>
  <c r="T33"/>
  <c r="F52"/>
  <c r="G52"/>
  <c r="T38"/>
  <c r="S53"/>
  <c r="H52"/>
  <c r="T35"/>
  <c r="T26"/>
  <c r="M52"/>
  <c r="T31"/>
  <c r="T29"/>
  <c r="T41"/>
  <c r="T45"/>
  <c r="J52"/>
  <c r="P52"/>
  <c r="T43"/>
  <c r="T34"/>
  <c r="T32"/>
  <c r="T36"/>
  <c r="I52"/>
  <c r="T28"/>
  <c r="T42"/>
  <c r="T40"/>
  <c r="T44"/>
  <c r="L52"/>
  <c r="T37"/>
  <c r="T46"/>
  <c r="T27"/>
  <c r="K52"/>
  <c r="N52"/>
  <c r="T48" i="14"/>
  <c r="F53"/>
  <c r="T52"/>
  <c r="T49"/>
  <c r="T49" i="12" l="1"/>
  <c r="F53"/>
  <c r="G53" s="1"/>
  <c r="H53" s="1"/>
  <c r="I53" s="1"/>
  <c r="J53" s="1"/>
  <c r="K53" s="1"/>
  <c r="L53" s="1"/>
  <c r="M53" s="1"/>
  <c r="N53" s="1"/>
  <c r="O53" s="1"/>
  <c r="P53" s="1"/>
  <c r="Q53" s="1"/>
  <c r="T52"/>
  <c r="T48"/>
  <c r="T51" i="14"/>
  <c r="T53" s="1"/>
  <c r="T51" i="12" l="1"/>
  <c r="T53" s="1"/>
</calcChain>
</file>

<file path=xl/sharedStrings.xml><?xml version="1.0" encoding="utf-8"?>
<sst xmlns="http://schemas.openxmlformats.org/spreadsheetml/2006/main" count="9069" uniqueCount="2122">
  <si>
    <t>:</t>
  </si>
  <si>
    <t>SUBPROJETO</t>
  </si>
  <si>
    <t>PROTOCOLO</t>
  </si>
  <si>
    <t xml:space="preserve">ARQ Nº </t>
  </si>
  <si>
    <t>LOCAL</t>
  </si>
  <si>
    <t>DMT</t>
  </si>
  <si>
    <t>CONSUMO</t>
  </si>
  <si>
    <t>CUSTOS UNITÁRIOS - ( R$ )</t>
  </si>
  <si>
    <t>PROJETO ORIGINAL</t>
  </si>
  <si>
    <t>TRANSP</t>
  </si>
  <si>
    <t>EXEC.</t>
  </si>
  <si>
    <t>S/BDI</t>
  </si>
  <si>
    <t>C/BDI</t>
  </si>
  <si>
    <t>QUANT</t>
  </si>
  <si>
    <t>UNIT</t>
  </si>
  <si>
    <t>( R$ ) - PM</t>
  </si>
  <si>
    <t>m3</t>
  </si>
  <si>
    <t xml:space="preserve"> </t>
  </si>
  <si>
    <t>m2</t>
  </si>
  <si>
    <t>m</t>
  </si>
  <si>
    <t>ton</t>
  </si>
  <si>
    <t>un</t>
  </si>
  <si>
    <t>TOTAL GERAL</t>
  </si>
  <si>
    <t>kg</t>
  </si>
  <si>
    <t>BLSA120</t>
  </si>
  <si>
    <t>BLSA150</t>
  </si>
  <si>
    <t>BLSA200</t>
  </si>
  <si>
    <t>BLSA250</t>
  </si>
  <si>
    <t>BLSC120</t>
  </si>
  <si>
    <t>BLSC150</t>
  </si>
  <si>
    <t>BLSC200</t>
  </si>
  <si>
    <t>BLSC250</t>
  </si>
  <si>
    <t>BLDA120</t>
  </si>
  <si>
    <t>BLDA150</t>
  </si>
  <si>
    <t>BLDC120</t>
  </si>
  <si>
    <t>BLDC150</t>
  </si>
  <si>
    <t>CLA060</t>
  </si>
  <si>
    <t>CLA080</t>
  </si>
  <si>
    <t>CLA100</t>
  </si>
  <si>
    <t>CLA120</t>
  </si>
  <si>
    <t>CLC060</t>
  </si>
  <si>
    <t>CLC080</t>
  </si>
  <si>
    <t>CLC100</t>
  </si>
  <si>
    <t>CLC120</t>
  </si>
  <si>
    <t>CLC150</t>
  </si>
  <si>
    <t>CLC200</t>
  </si>
  <si>
    <t>PVAH150</t>
  </si>
  <si>
    <t>PVCH150</t>
  </si>
  <si>
    <t>PVCH200</t>
  </si>
  <si>
    <t>PVCH250</t>
  </si>
  <si>
    <t>VIGA080</t>
  </si>
  <si>
    <t>VIGA100</t>
  </si>
  <si>
    <t>VIGA120</t>
  </si>
  <si>
    <t>DISSIPM</t>
  </si>
  <si>
    <t>serviço</t>
  </si>
  <si>
    <t>TIJOLO</t>
  </si>
  <si>
    <t>cimen</t>
  </si>
  <si>
    <t>areia</t>
  </si>
  <si>
    <t>brita</t>
  </si>
  <si>
    <t>custo
exec</t>
  </si>
  <si>
    <t>CAL</t>
  </si>
  <si>
    <t>forma
   m2</t>
  </si>
  <si>
    <t>TIJOLO
M3</t>
  </si>
  <si>
    <t>concr
magr</t>
  </si>
  <si>
    <t>Concr
11mpa</t>
  </si>
  <si>
    <t>Concr
15mpa</t>
  </si>
  <si>
    <t>argamas
M2</t>
  </si>
  <si>
    <t>aço
ca 60</t>
  </si>
  <si>
    <t>grelha</t>
  </si>
  <si>
    <t>B.L. Símples alvenaria H até 1,20 m</t>
  </si>
  <si>
    <t>B.L. Símples alvenaria H até 1,50 m</t>
  </si>
  <si>
    <t>B.L. Símples alvenaria H até 2,00 m</t>
  </si>
  <si>
    <t>B.L. Símples alvenaria H até 2,50 m</t>
  </si>
  <si>
    <t>C.L. Alvenaria Tubo até 0,80</t>
  </si>
  <si>
    <t>C.L. Alvenaria Tubo até 1,00</t>
  </si>
  <si>
    <t>C.L. Alvenaria Tubo até 1,20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</si>
  <si>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</si>
  <si>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</si>
  <si>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</si>
  <si>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</si>
  <si>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</si>
  <si>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</si>
  <si>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</si>
  <si>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</si>
  <si>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</si>
  <si>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</si>
  <si>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0,0025</t>
  </si>
  <si>
    <t>0,0001</t>
  </si>
  <si>
    <t>0,0024</t>
  </si>
  <si>
    <t>0,0038</t>
  </si>
  <si>
    <t>0,0002</t>
  </si>
  <si>
    <t>0,0062</t>
  </si>
  <si>
    <t>0,0043</t>
  </si>
  <si>
    <t>0,0119</t>
  </si>
  <si>
    <t>0,0004</t>
  </si>
  <si>
    <t>0,0082</t>
  </si>
  <si>
    <t>tubo
ø80</t>
  </si>
  <si>
    <t>0,6231</t>
  </si>
  <si>
    <t>2,2155</t>
  </si>
  <si>
    <t>C.L. Alvenaria Tubo até 0,40</t>
  </si>
  <si>
    <t>C.L. Alvenaria Tubo até 0,60</t>
  </si>
  <si>
    <t>B.L. Dupla Alvenaria H até 1,20 m</t>
  </si>
  <si>
    <t>B.L. Dupla Alvenaria H até 1,50 m</t>
  </si>
  <si>
    <t>B.L. Dupla Alvenaria H até 2,00 m</t>
  </si>
  <si>
    <t>B.L. Dupla Alvenaria H até 2,50 m</t>
  </si>
  <si>
    <t>B.L. Símples concreto armado H até 1,50 m</t>
  </si>
  <si>
    <t>B.L. Símples concreto armado H até 2,00 m</t>
  </si>
  <si>
    <t>B.L. Símples concreto armado H até 2,50 m</t>
  </si>
  <si>
    <t>B.L. Símples concreto armado H até 1,20 m</t>
  </si>
  <si>
    <t>B.L. Dupla Concreto armado H até 1,50 m</t>
  </si>
  <si>
    <t>B.L. Dupla Concreto armado H até 2,00 m</t>
  </si>
  <si>
    <t>B.L. Dupla Concreto armado H até 2,50 m</t>
  </si>
  <si>
    <t>B.L. Dupla Concreto armado H até 1,20 m</t>
  </si>
  <si>
    <t>BLSM120</t>
  </si>
  <si>
    <t>BLSM150</t>
  </si>
  <si>
    <t>BLSM200</t>
  </si>
  <si>
    <t>BLSM250</t>
  </si>
  <si>
    <t>BLDA200</t>
  </si>
  <si>
    <t>BLDA250</t>
  </si>
  <si>
    <t>BLDM120</t>
  </si>
  <si>
    <t>BLDM150</t>
  </si>
  <si>
    <t>BLDM200</t>
  </si>
  <si>
    <t>BLDM250</t>
  </si>
  <si>
    <t>BLDC200</t>
  </si>
  <si>
    <t>BLDC250</t>
  </si>
  <si>
    <t>CLA040</t>
  </si>
  <si>
    <t>CLM040</t>
  </si>
  <si>
    <t>CLM060</t>
  </si>
  <si>
    <t>CLM080</t>
  </si>
  <si>
    <t>CLM100</t>
  </si>
  <si>
    <t>CLM120</t>
  </si>
  <si>
    <t>CLC040</t>
  </si>
  <si>
    <t>PVAH180</t>
  </si>
  <si>
    <t>PVAH80</t>
  </si>
  <si>
    <t>PVAH100</t>
  </si>
  <si>
    <t>PVAH130</t>
  </si>
  <si>
    <t>PVMH80</t>
  </si>
  <si>
    <t>PVMH100</t>
  </si>
  <si>
    <t>PVMH130</t>
  </si>
  <si>
    <t>PVMH150</t>
  </si>
  <si>
    <t>PVMH180</t>
  </si>
  <si>
    <t>PVCH80</t>
  </si>
  <si>
    <t>PVCH100</t>
  </si>
  <si>
    <t>PVCH130</t>
  </si>
  <si>
    <t>PVCH180</t>
  </si>
  <si>
    <t>P.V. Alvenaria H até 0,80 m Tubo até 0,40 + chaminé 1,00 m</t>
  </si>
  <si>
    <t>P.V. Alvenaria H até 1,00 m Tubo até 0,60 + chaminé 1,00 m</t>
  </si>
  <si>
    <t>P.V. Alvenaria H até 1,30 m Tubo até 0,80 + chaminé 1,00 m</t>
  </si>
  <si>
    <t>P.V. Alvenaria H até 1,50 m Tubo até 1,00 + chaminé 1,00 m</t>
  </si>
  <si>
    <t>P.V. Alvenaria H até 1,80 m Tubo até 1,20 + chaminé 1,00 m</t>
  </si>
  <si>
    <t>P.V. Pré-moldado H até 0,80 m Tubo até 0,40 + chaminé 1,00 m</t>
  </si>
  <si>
    <t>P.V. Pré-moldado H até 1,00 m Tubo até 0,60 + chaminé 1,00 m</t>
  </si>
  <si>
    <t>P.V. Pré-moldado H até 1,30 m Tubo até 0,80 + chaminé 1,00 m</t>
  </si>
  <si>
    <t>P.V. Pré-moldado H até 1,50 m Tubo até 1,00 + chaminé 1,00 m</t>
  </si>
  <si>
    <t>P.V. Pré-moldado H até 1,80 m Tubo até 1,20 + chaminé 1,00 m</t>
  </si>
  <si>
    <t>P.V. Concreto armado H até 0,80 m Tubo até 0,40 + chaminé 1,00 m</t>
  </si>
  <si>
    <t>P.V. Concreto armado H até 1,00 m Tubo até 0,60 + chaminé 1,00 m</t>
  </si>
  <si>
    <t>P.V. Concreto armado H até 1,30 m Tubo até 0,80 + chaminé 1,00 m</t>
  </si>
  <si>
    <t>P.V. Concreto armado H até 1,50 m Tubo até 1,00 + chaminé 1,00 m</t>
  </si>
  <si>
    <t>P.V. Concreto armado H até 1,80 m Tubo até 1,20 + chaminé 1,00 m</t>
  </si>
  <si>
    <t>P.V. Concreto armado H até 2,00 m Tubo até 1,50 + chaminé 1,00 m</t>
  </si>
  <si>
    <t>P.V. Concreto armado H até 2,50 m Tubo até 2,00 + chaminé 1,00 m</t>
  </si>
  <si>
    <t>ENSAIOS (%)</t>
  </si>
  <si>
    <t>Dissipador de Energia c/Pedra de Mão tubo ø 1,00</t>
  </si>
  <si>
    <t>Dissipador de Energia c/Pedra de Mão tubo ø 1,20</t>
  </si>
  <si>
    <t>Dissipador de Energia c/Pedra de Mão tubo ø 1,50</t>
  </si>
  <si>
    <t>Pedra Argamassada m3</t>
  </si>
  <si>
    <t>CICLÓP 11
mpa m3</t>
  </si>
  <si>
    <t>transporte</t>
  </si>
  <si>
    <t>534908A</t>
  </si>
  <si>
    <t>534908B</t>
  </si>
  <si>
    <t>534908C</t>
  </si>
  <si>
    <t>534906C</t>
  </si>
  <si>
    <t>ORÇAMENTO COMPARATIVO DE PAVIMENTAÇÃO PELA TABELA</t>
  </si>
  <si>
    <t>x</t>
  </si>
  <si>
    <t>ESCRITÓRIO REGIONAL</t>
  </si>
  <si>
    <t>DESCRIÇÃO DOS SERVIÇOS</t>
  </si>
  <si>
    <t>km</t>
  </si>
  <si>
    <t>( ton )</t>
  </si>
  <si>
    <t>UD</t>
  </si>
  <si>
    <t>PLANILHA DE SERVIÇOS   -   PAVIMENTAÇÃO</t>
  </si>
  <si>
    <t>PAVIMENAÇÃO</t>
  </si>
  <si>
    <t>( R$ ) - PM
TOTAIS</t>
  </si>
  <si>
    <t>Município:</t>
  </si>
  <si>
    <t xml:space="preserve">SAM  </t>
  </si>
  <si>
    <t xml:space="preserve">LOTE nº </t>
  </si>
  <si>
    <t>LOTE</t>
  </si>
  <si>
    <t/>
  </si>
  <si>
    <t>5</t>
  </si>
  <si>
    <t>2</t>
  </si>
  <si>
    <t>Regularização compac.subleito S.A.F. 100% PI</t>
  </si>
  <si>
    <t>Desmatamento e limpeza diam. até 30cm</t>
  </si>
  <si>
    <t>Destocamento árvores diam. &gt; 30cm</t>
  </si>
  <si>
    <t>Remoção de Solos Moles - 2 km</t>
  </si>
  <si>
    <t>Remoção da Camada Superficial</t>
  </si>
  <si>
    <t>Escavação em 1ª Categoria</t>
  </si>
  <si>
    <t>Escavação em 2ª Categoria</t>
  </si>
  <si>
    <t>Escavação em 3ª Categoria</t>
  </si>
  <si>
    <t>Escavação, Carga e Transp. de jazida 1ª Cat.</t>
  </si>
  <si>
    <t>Escavação, Carga e Transp. de jazida 2ª Cat.</t>
  </si>
  <si>
    <t>Compactação de Aterros - Controle Visual</t>
  </si>
  <si>
    <t>Compactação de Aterros 95% P.N.</t>
  </si>
  <si>
    <t>Compactação de Aterros 100% P.N.</t>
  </si>
  <si>
    <t>Colchão Drenante Areia Fund. Aterros</t>
  </si>
  <si>
    <t>Demolição de Concreto Símples</t>
  </si>
  <si>
    <t>Demolição de Concreto Armado</t>
  </si>
  <si>
    <t>Demolição Manual de Pavimento e Transporte</t>
  </si>
  <si>
    <t>Regularização do Subleito sem Compactação</t>
  </si>
  <si>
    <t>Regularização compac.subleito 100% PN</t>
  </si>
  <si>
    <t>Camada de bloqueio c/ pedra o &lt; 3/4"</t>
  </si>
  <si>
    <t>Regularização e Compactação p/ assentamento de calçadas/lajotas/blocos</t>
  </si>
  <si>
    <t>SEIL</t>
  </si>
  <si>
    <t>DER</t>
  </si>
  <si>
    <t>3</t>
  </si>
  <si>
    <t>Solo estabilizado 2ª categoria</t>
  </si>
  <si>
    <t>Revestimento Primário</t>
  </si>
  <si>
    <t>Cascalhamento</t>
  </si>
  <si>
    <t>Solo Arenoso Fino (base) 100% PI</t>
  </si>
  <si>
    <t>Cimento</t>
  </si>
  <si>
    <t>Solo (Solo Cimento )</t>
  </si>
  <si>
    <t>Massa (Solo Cimento )</t>
  </si>
  <si>
    <t>Bica Corrida</t>
  </si>
  <si>
    <t>Brita Graduada</t>
  </si>
  <si>
    <t>Macadame Seco c/ Bica Corrida</t>
  </si>
  <si>
    <t>Rachão</t>
  </si>
  <si>
    <t>Bica corrida</t>
  </si>
  <si>
    <t>Macadame Seco c/ Brita Graduada</t>
  </si>
  <si>
    <t>Macadame Hidráulico</t>
  </si>
  <si>
    <t>Brita graduada tratada c/cimento (Cp=4%) 100% PI</t>
  </si>
  <si>
    <t>Pedra britada (Usina de solos)</t>
  </si>
  <si>
    <t>Massa (Brita Graduada )</t>
  </si>
  <si>
    <t>4</t>
  </si>
  <si>
    <t>SERVIÇOS EXTRAS - REVESTIMENTO</t>
  </si>
  <si>
    <t>6</t>
  </si>
  <si>
    <t>Rachão s/ britagem</t>
  </si>
  <si>
    <t>534906D</t>
  </si>
  <si>
    <t>534906E</t>
  </si>
  <si>
    <t>534906F</t>
  </si>
  <si>
    <t>534908D</t>
  </si>
  <si>
    <t>534908E</t>
  </si>
  <si>
    <t>534908F</t>
  </si>
  <si>
    <t>DER mat</t>
  </si>
  <si>
    <t>SERVIÇOS EXTRAS - MEIO-FIO E SARJETA</t>
  </si>
  <si>
    <t>605000B</t>
  </si>
  <si>
    <t>Bica Corrida - Passeio</t>
  </si>
  <si>
    <t>Limpeza e Lavagem da pista ( Recape )</t>
  </si>
  <si>
    <t>Pedra Irregular - sem colchão</t>
  </si>
  <si>
    <t>Cordão Lateral p/ Pedras Irregulares</t>
  </si>
  <si>
    <t>Retirada e Reassentamento de Pedras Irregulares</t>
  </si>
  <si>
    <t>Paralelepípedos Regulares</t>
  </si>
  <si>
    <t>Lajotas de Concreto e=4cm - sem colchão</t>
  </si>
  <si>
    <t>Lajotas de Concreto e=5cm - sem colchão</t>
  </si>
  <si>
    <t>Lajotas de Concreto e=6cm - sem colchão</t>
  </si>
  <si>
    <t>Lajotas de Concreto e=7cm - sem colchão</t>
  </si>
  <si>
    <t>Lajotas de Concreto e=8cm - sem colchão</t>
  </si>
  <si>
    <t>Lajotas de Concreto e=10cm - sem colchão</t>
  </si>
  <si>
    <t>Areia</t>
  </si>
  <si>
    <t>Cal Hidratada CH-1</t>
  </si>
  <si>
    <t>Pó de Pedra</t>
  </si>
  <si>
    <t>Trat.Sup. Símples c/ Emulsão ( Curitiba )</t>
  </si>
  <si>
    <t>Brita</t>
  </si>
  <si>
    <t>TSD com Capa Selante - Tipo I-1</t>
  </si>
  <si>
    <t>TSD com Capa Selante Tipo - I-2</t>
  </si>
  <si>
    <t>TSD com Capa Selante - Tipo I-3</t>
  </si>
  <si>
    <t>Trat.Sup.Tríplo ( TST ) Tipo I-4</t>
  </si>
  <si>
    <t>Trat.Sup.Tríplo ( TST ) Tipo I-5</t>
  </si>
  <si>
    <t>Trat.Sup.Tríplo ( TST ) Tipo I-6</t>
  </si>
  <si>
    <t>Macadame Betuminoso c/ Emulsão RR-2C</t>
  </si>
  <si>
    <t>Macadame Betuminoso c/ CAP</t>
  </si>
  <si>
    <t>Capa Selante</t>
  </si>
  <si>
    <t>Brita ( usina )</t>
  </si>
  <si>
    <t>Massa</t>
  </si>
  <si>
    <t>CBUQ c/ asfalto modificado p/ polímero SBS(60/85)</t>
  </si>
  <si>
    <t>Frezagem Contínua a Frio</t>
  </si>
  <si>
    <t>Frezagem Descontínua a Frio</t>
  </si>
  <si>
    <t>Meio-Fio com Sarjeta DER - Tipo 1 - (0,103 m3) - Moldado "in loco"</t>
  </si>
  <si>
    <t>Meio-Fio com Sarjeta DER - Tipo 1 - (0,103 m3) - Pré-Moldado</t>
  </si>
  <si>
    <t>Meio-Fio com Sarjeta DER - Tipo 2 - (0,042 m3) - Moldado "in loco"</t>
  </si>
  <si>
    <t>Meio-Fio com Sarjeta DER - Tipo 2 - (0,042 m3) - Pré-Moldado</t>
  </si>
  <si>
    <t>Meio-Fio c/Sarjeta (rebaixado) DER-Tipo 7-(0,031 m3) - Moldado "in loco"</t>
  </si>
  <si>
    <t>Meio-Fio com Sarjeta DER - Tipo 7 - (0,031 m3) - Pré-Moldado</t>
  </si>
  <si>
    <t>Meio-Fio Símples DER - Tipo 3 - (0,034 m3) - Moldado "in loco"</t>
  </si>
  <si>
    <t>Meio-Fio com Sarjeta DER - Tipo 3 - (0,034 m3) - Pré-Moldado</t>
  </si>
  <si>
    <t>Meio-Fio Símples DER - Tipo 4 - (0,072 m3) - Moldado "in loco"</t>
  </si>
  <si>
    <t>Meio-Fio com Sarjeta DER - Tipo 4 - (0,072 m3) - Pré-Moldado</t>
  </si>
  <si>
    <t>Demolição de Concreto Símples (calçadas e outros)</t>
  </si>
  <si>
    <t>Lastro de Concreto Simples (calçadas e outros)</t>
  </si>
  <si>
    <t>Apiloamento Manual (calçadas e outros)</t>
  </si>
  <si>
    <t>Formas de madeira compensada resinada</t>
  </si>
  <si>
    <t>Aço CA-50 Dobr. e Colocação</t>
  </si>
  <si>
    <t>Aço CA-60 Dobr. e Colocação</t>
  </si>
  <si>
    <t>Calçada Concreto ( e = 5,00 cm )</t>
  </si>
  <si>
    <t>Remoção e recolocação de cercas de arame</t>
  </si>
  <si>
    <t>Construção de Cerca 4 fios c/ mourões de concreto</t>
  </si>
  <si>
    <t>Construção de Cerca 4 fios c/ mourões de madeira</t>
  </si>
  <si>
    <t>Defensa simples semi-maleável c/ espaçador e calço</t>
  </si>
  <si>
    <t>Regularização e Compactação SAF- 100% PI - Passeio com Pavimento</t>
  </si>
  <si>
    <t>Regularização e Compactação 100% PN - Passeio com Pavimento</t>
  </si>
  <si>
    <t>Aterro c/ mat. do canteiro (escav 1ª CAT+transp+compact) - Passeio</t>
  </si>
  <si>
    <t>Aterro c/ mat. de jazida (escav 1ª CAT+transp+compact) - Passeio</t>
  </si>
  <si>
    <t>Solo estabilizado 2ª categoria - Passeio</t>
  </si>
  <si>
    <t>Brita Graduada - Passeio</t>
  </si>
  <si>
    <t>Pedra Irregular - sem colchão - Passeio</t>
  </si>
  <si>
    <t>Cordão Lateral p/ Pedras Irregulares - Passeio</t>
  </si>
  <si>
    <t>Retirada de Pedras Irregulares - Passeio</t>
  </si>
  <si>
    <t>Retirada e Reassentamento de Pedras Irregulares - Passeio</t>
  </si>
  <si>
    <t>Limpeza e pintura de abrigo de ônibus</t>
  </si>
  <si>
    <t>Abrigo em parada de ônibus</t>
  </si>
  <si>
    <t>FAIXA ELEVADA PNE c/ Piso Tátil (NBR 9050) - Modelo 01 - ORÇAR</t>
  </si>
  <si>
    <t>Rampa para PNE com Piso Tátil (NBR 9050) - Modelo 02 - 5,94 m2</t>
  </si>
  <si>
    <t>Rampa para PNE com Piso Tátil (NBR 9050) - Modelo 03 - 5,94 m2</t>
  </si>
  <si>
    <t>Rampa para PNE com Piso Tátil (NBR 9050) - Modelo 04 - 5,94 m2</t>
  </si>
  <si>
    <t>Rampa para PNE com Piso Tátil (NBR 9050) - Modelo 05 - 7,80 m2</t>
  </si>
  <si>
    <t>Rampa para PNE com Piso Tátil (NBR 9050) - Modelo 06 - 7,65 m2</t>
  </si>
  <si>
    <t>Placa sinalização refletiva - SEM SUPORTE</t>
  </si>
  <si>
    <t>Suporte de madeira 3"x3" p/ placa sinalização</t>
  </si>
  <si>
    <t>Suporte metál.galv.fogo d=2,5" c/tampa e aletas anti-giro h=3,00m</t>
  </si>
  <si>
    <t>Placa sinalização refletiva-círculo (0,1964 m2/ud) + suporte MADEIRA</t>
  </si>
  <si>
    <t>Placa sinalização refletiva-triângulo (0,1219 m2/ud) + suporte MADEIRA</t>
  </si>
  <si>
    <t>Placa sinalização refletiva-octógono (0,2160 m2/ud) + suporte MADEIRA</t>
  </si>
  <si>
    <t>Placa sinalização refletiva-losango (0,2025 m2/ud) + suporte MADEIRA</t>
  </si>
  <si>
    <t>Placa sinalização refletiva-círculo (0,1964 m2/ud) + suporte METÁLICO</t>
  </si>
  <si>
    <t>Placa sinalização refletiva-triângulo (0,1219 m2/ud) + suporte METÁLICO</t>
  </si>
  <si>
    <t>Placa sinalização refletiva-octógono (0,2160 m2/ud) + suporte METÁLICO</t>
  </si>
  <si>
    <t>Placa sinalização refletiva-losango (0,2025 m2/ud) + suporte METÁLICO</t>
  </si>
  <si>
    <t>ORÇAR</t>
  </si>
  <si>
    <t>605000A</t>
  </si>
  <si>
    <t>605000C</t>
  </si>
  <si>
    <t>605000D</t>
  </si>
  <si>
    <t>605000E</t>
  </si>
  <si>
    <t>820000A</t>
  </si>
  <si>
    <t>820000B</t>
  </si>
  <si>
    <t>820000C</t>
  </si>
  <si>
    <t>820000D</t>
  </si>
  <si>
    <t>820000E</t>
  </si>
  <si>
    <t>820000F</t>
  </si>
  <si>
    <t>820000G</t>
  </si>
  <si>
    <t>820000H</t>
  </si>
  <si>
    <t>8</t>
  </si>
  <si>
    <t>Escavação Manual de Valas</t>
  </si>
  <si>
    <t>Escavação de Bueiros em 1ª Categoria</t>
  </si>
  <si>
    <t>Escavação de Bueiros em 2ª Categoria</t>
  </si>
  <si>
    <t>Escavação de Bueiros em 3ª Categoria</t>
  </si>
  <si>
    <t>Remoção de bueiro 0,30m</t>
  </si>
  <si>
    <t>Remoção de bueiro 0,40m</t>
  </si>
  <si>
    <t>Remoção de bueiro 0,50m</t>
  </si>
  <si>
    <t>Remoção de bueiro 0,60m</t>
  </si>
  <si>
    <t>Remoção de bueiro 0,80m</t>
  </si>
  <si>
    <t>Remoção de bueiro 1,00m</t>
  </si>
  <si>
    <t>Remoção de bueiro 1,20m</t>
  </si>
  <si>
    <t>Remoção de bueiro 1,50m</t>
  </si>
  <si>
    <t>Gabião</t>
  </si>
  <si>
    <t>Apiloamento Manual</t>
  </si>
  <si>
    <t>Reaterro Sem Apiloamento</t>
  </si>
  <si>
    <t>Alvenaria de Pedra de Mão Argamassada</t>
  </si>
  <si>
    <t>Enrocamento pedra de mão arrumada</t>
  </si>
  <si>
    <t>Enrocamento pedra de mão jogada</t>
  </si>
  <si>
    <t>Lastro de Areia</t>
  </si>
  <si>
    <t>Lastro de Brita</t>
  </si>
  <si>
    <t>Alvenaria de Tijolos Maciços</t>
  </si>
  <si>
    <t>Alvenaria de Tijolos 6 Furos</t>
  </si>
  <si>
    <t>Argamassa Cimento e Areia 1:3</t>
  </si>
  <si>
    <t>Argamassa Cimento e Areia 1:4</t>
  </si>
  <si>
    <t>Dreno profundo em solo - tipo 1</t>
  </si>
  <si>
    <t>Tubo</t>
  </si>
  <si>
    <t>Concreto Magro</t>
  </si>
  <si>
    <t>Concreto Ciclópico 11 Mpa (37% de Pedra de Mão)</t>
  </si>
  <si>
    <t>Brita + Pedra de Mão</t>
  </si>
  <si>
    <t>Concreto Símples Fck = 11 Mpa</t>
  </si>
  <si>
    <t>Concreto Estrutural Fck = 15 Mpa</t>
  </si>
  <si>
    <t>Concreto Fck = 18 Mpa</t>
  </si>
  <si>
    <t>Boca (Ala) de BSTC ø 0,40 m</t>
  </si>
  <si>
    <t>Boca (Ala) de BSTC ø 0,60 m</t>
  </si>
  <si>
    <t>Boca (Ala) de BSTC ø 0,80 m</t>
  </si>
  <si>
    <t>Boca (Ala) de BSTC ø 1,00 m</t>
  </si>
  <si>
    <t>Boca (Ala) de BSTC ø 1,20 m</t>
  </si>
  <si>
    <t>Boca (Ala) de BSTC ø 1,50 m</t>
  </si>
  <si>
    <t>Boca (Ala) de BSTC ø 2,00 m</t>
  </si>
  <si>
    <t>Boca (Ala) de BDTC ø 0,60 m</t>
  </si>
  <si>
    <t>Boca (Ala) de BDTC ø 0,80 m</t>
  </si>
  <si>
    <t>Boca (Ala) de BDTC ø 1,00 m</t>
  </si>
  <si>
    <t>Boca (Ala) de BDTC ø 1,20 m</t>
  </si>
  <si>
    <t>Boca (Ala) de BDTC ø 1,50 m</t>
  </si>
  <si>
    <t>Boca (Ala) de BDTC ø 2,00 m</t>
  </si>
  <si>
    <t>Boca (Ala) de BTTC ø 0,60 m</t>
  </si>
  <si>
    <t>Boca (Ala) de BTTC ø 0,80 m</t>
  </si>
  <si>
    <t>Boca (Ala) de BTTC ø 1,00 m</t>
  </si>
  <si>
    <t>Boca (Ala) de BTTC ø 1,20 m</t>
  </si>
  <si>
    <t>Boca (Ala) de BTTC ø 1,50 m</t>
  </si>
  <si>
    <t>Boca (Ala) de BTTC ø 2,00 m</t>
  </si>
  <si>
    <t>Corpo de BSTC ø 0,40 sem Berço e sem Armação</t>
  </si>
  <si>
    <t>Corpo de BSTC ø 0,60 sem Berço e sem Armação</t>
  </si>
  <si>
    <t>Corpo de BSTC ø 0,80 sem Berço e sem Armação</t>
  </si>
  <si>
    <t>Corpo de BSTC ø 0,40 Sem Berço c/ Armação Símples CA-1</t>
  </si>
  <si>
    <t>Corpo de BSTC ø 0,60 Sem Berço c/ Armação Símples CA-1</t>
  </si>
  <si>
    <t>Corpo de BSTC ø 0,80 Sem Berço c/ Armação Símples CA-1</t>
  </si>
  <si>
    <t>Corpo de BSTC ø 1,00 Sem Berço c/ Armação Símples CA-1</t>
  </si>
  <si>
    <t>Corpo de BSTC ø 1,20 Sem Berço c/ Armação Símples CA-1</t>
  </si>
  <si>
    <t>Corpo de BSTC ø 1,50 Sem Berço c/ Armação Símples CA-1</t>
  </si>
  <si>
    <t>Corpo de BSTC ø 1,80 Sem Berço c/ Armação Símples CA-1</t>
  </si>
  <si>
    <t>Corpo de BSTC ø 2,00 Sem Berço c/ Armação Símples CA-1</t>
  </si>
  <si>
    <t>Corpo de BSTC ø 0,40 Sem Berço c/ Armação Dupla CA-2</t>
  </si>
  <si>
    <t>Corpo de BSTC ø 0,60 Sem Berço c/ Armação Dupla CA-2</t>
  </si>
  <si>
    <t>Corpo de BSTC ø 0,80 Sem Berço c/ Armação Dupla CA-2</t>
  </si>
  <si>
    <t>Corpo de BSTC ø 1,00 Sem Berço c/ Armação Dupla CA-2</t>
  </si>
  <si>
    <t>Corpo de BSTC ø 1,20 Sem Berço c/ Armação Dupla CA-2</t>
  </si>
  <si>
    <t>Corpo de BSTC ø 1,50 Sem Berço c/ Armação Dupla CA-2</t>
  </si>
  <si>
    <t>Corpo de BSTC ø 1,80 Sem Berço c/ Armação Dupla CA-2</t>
  </si>
  <si>
    <t>Corpo de BSTC ø 2,00 Sem Berço c/ Armação Dupla CA-2</t>
  </si>
  <si>
    <t>Corpo de BSTC ø 0,40 Com Berço c/ Armação Dupla CA-2</t>
  </si>
  <si>
    <t>Corpo de BSTC ø 0,60 Com Berço c/ Armação Dupla CA-2</t>
  </si>
  <si>
    <t>Corpo de BSTC ø 0,80 Com Berço c/ Armação Dupla CA-2</t>
  </si>
  <si>
    <t>Corpo de BSTC ø 1,00 Com Berço c/ Armação Dupla CA-2</t>
  </si>
  <si>
    <t>Corpo de BSTC ø 1,20 Com Berço c/ Armação Dupla CA-2</t>
  </si>
  <si>
    <t>Corpo de BSTC ø 1,50 Com Berço c/ Armação Dupla CA-2</t>
  </si>
  <si>
    <t>Corpo de BSTC ø 1,80 Com Berço c/ Armação Dupla CA-2</t>
  </si>
  <si>
    <t>Corpo de BSTC ø 2,00 Com Berço c/ Armação Dupla CA-2</t>
  </si>
  <si>
    <t>Tijolo</t>
  </si>
  <si>
    <t>Cal</t>
  </si>
  <si>
    <t>B.L. Símples pré-moldado H até 1,20 m</t>
  </si>
  <si>
    <t>B.L. Símples pré-moldado H até 1,50 m</t>
  </si>
  <si>
    <t>B.L. Símples pré-moldado H até 2,00 m</t>
  </si>
  <si>
    <t>B.L. Símples pré-moldado H até 2,50 m</t>
  </si>
  <si>
    <t>B.L. Dupla Pré-moldado H até 1,20 m</t>
  </si>
  <si>
    <t>B.L. Dupla Pré-moldado H até 1,50 m</t>
  </si>
  <si>
    <t>B.L. Dupla Pré-moldado H até 2,00 m</t>
  </si>
  <si>
    <t>B.L. Dupla Pré-moldado H até 2,50 m</t>
  </si>
  <si>
    <t>C.L. pré-moldado Tubo até 0,40</t>
  </si>
  <si>
    <t>C.L. pré-moldado Tubo até 0,60</t>
  </si>
  <si>
    <t>C.L. pré-moldado Tubo até 0,80</t>
  </si>
  <si>
    <t>C.L. pré-moldado Tubo até 1,00</t>
  </si>
  <si>
    <t>C.L. pré-moldado Tubo até 1,20</t>
  </si>
  <si>
    <t>C.L. concreto armado Tubo até 0,40</t>
  </si>
  <si>
    <t>C.L. concreto armado Tubo até 0,60</t>
  </si>
  <si>
    <t>C.L. concreto armado Tubo até 0,80</t>
  </si>
  <si>
    <t>C.L. concreto armado Tubo até 1,00</t>
  </si>
  <si>
    <t>C.L. concreto armado Tubo até 1,20</t>
  </si>
  <si>
    <t>C.L. concreto armado Tubo até 1,50</t>
  </si>
  <si>
    <t>C.L. concreto armado Tubo até 2,00</t>
  </si>
  <si>
    <t>Viga de Apoio em concreto marmado Tubo 0,80</t>
  </si>
  <si>
    <t>Viga de Apoio em concreto marmado Tubo 1,00</t>
  </si>
  <si>
    <t>Viga de Apoio em concreto marmado Tubo 1,20</t>
  </si>
  <si>
    <t>Dissipador de Energia c/Pedra de Mão tubo ø 0, 40</t>
  </si>
  <si>
    <t>Dissipador de Energia c/Pedra de Mão tubo ø 0, 60</t>
  </si>
  <si>
    <t>Dissipador de Energia c/Pedra de Mão tubo ø 0, 80</t>
  </si>
  <si>
    <t>EEEE001</t>
  </si>
  <si>
    <t>EEEE002</t>
  </si>
  <si>
    <t>EEEE003</t>
  </si>
  <si>
    <t>EEEE004</t>
  </si>
  <si>
    <t>EEEE005</t>
  </si>
  <si>
    <t>EEEE006</t>
  </si>
  <si>
    <t>EEEE007</t>
  </si>
  <si>
    <t>EEEE008</t>
  </si>
  <si>
    <t>EEEE009</t>
  </si>
  <si>
    <t>EEEE010</t>
  </si>
  <si>
    <t>ENSAIO DE ORÇAMENTO 1</t>
  </si>
  <si>
    <t>ENSAIO DE ORÇAMENTO 2</t>
  </si>
  <si>
    <t>ENSAIO DE ORÇAMENTO 3</t>
  </si>
  <si>
    <t>ENSAIO DE ORÇAMENTO 4</t>
  </si>
  <si>
    <t>ENSAIO DE ORÇAMENTO 5</t>
  </si>
  <si>
    <t>ENSAIO DE ORÇAMENTO 6</t>
  </si>
  <si>
    <t>ENSAIO DE ORÇAMENTO 7</t>
  </si>
  <si>
    <t>ENSAIO DE ORÇAMENTO 8</t>
  </si>
  <si>
    <t>ENSAIO DE ORÇAMENTO 9</t>
  </si>
  <si>
    <t>ENSAIO DE ORÇAMENTO 10</t>
  </si>
  <si>
    <t>SERVIÇOS EXTRAS - DRENAGEM</t>
  </si>
  <si>
    <t>ÁREA INICIAL</t>
  </si>
  <si>
    <t>CONFERÊNCIA</t>
  </si>
  <si>
    <t>Código</t>
  </si>
  <si>
    <t>IMPRIMIR</t>
  </si>
  <si>
    <t>ITENS</t>
  </si>
  <si>
    <t>7</t>
  </si>
  <si>
    <t>Cartilha</t>
  </si>
  <si>
    <r>
      <t xml:space="preserve">Solo Cimento(Pista) - </t>
    </r>
    <r>
      <rPr>
        <b/>
        <sz val="10"/>
        <rFont val="Arial"/>
        <family val="2"/>
      </rPr>
      <t>2%</t>
    </r>
  </si>
  <si>
    <r>
      <t xml:space="preserve">Solo Cimento(Pista) - </t>
    </r>
    <r>
      <rPr>
        <b/>
        <sz val="10"/>
        <rFont val="Arial"/>
        <family val="2"/>
      </rPr>
      <t>3%</t>
    </r>
  </si>
  <si>
    <r>
      <t xml:space="preserve">Solo Cimento(Pista) - </t>
    </r>
    <r>
      <rPr>
        <b/>
        <sz val="10"/>
        <rFont val="Arial"/>
        <family val="2"/>
      </rPr>
      <t>4%</t>
    </r>
  </si>
  <si>
    <r>
      <t xml:space="preserve">Solo Cimento(Pista) - </t>
    </r>
    <r>
      <rPr>
        <b/>
        <sz val="10"/>
        <rFont val="Arial"/>
        <family val="2"/>
      </rPr>
      <t>5%</t>
    </r>
  </si>
  <si>
    <r>
      <t xml:space="preserve">Solo Cimento(Pista) - </t>
    </r>
    <r>
      <rPr>
        <b/>
        <sz val="10"/>
        <rFont val="Arial"/>
        <family val="2"/>
      </rPr>
      <t>6%</t>
    </r>
  </si>
  <si>
    <r>
      <t xml:space="preserve">Solo Cimento(Pista)- </t>
    </r>
    <r>
      <rPr>
        <b/>
        <sz val="10"/>
        <rFont val="Arial"/>
        <family val="2"/>
      </rPr>
      <t>7%</t>
    </r>
  </si>
  <si>
    <r>
      <t xml:space="preserve">Solo Cimento(Usina) - </t>
    </r>
    <r>
      <rPr>
        <b/>
        <sz val="10"/>
        <rFont val="Arial"/>
        <family val="2"/>
      </rPr>
      <t>2%</t>
    </r>
  </si>
  <si>
    <r>
      <t xml:space="preserve">Solo Cimento(Usina) - </t>
    </r>
    <r>
      <rPr>
        <b/>
        <sz val="10"/>
        <rFont val="Arial"/>
        <family val="2"/>
      </rPr>
      <t>3%</t>
    </r>
  </si>
  <si>
    <r>
      <t xml:space="preserve">Solo Cimento(Usina) - </t>
    </r>
    <r>
      <rPr>
        <b/>
        <sz val="10"/>
        <rFont val="Arial"/>
        <family val="2"/>
      </rPr>
      <t>4%</t>
    </r>
  </si>
  <si>
    <r>
      <t xml:space="preserve">Solo Cimento(Usina) - </t>
    </r>
    <r>
      <rPr>
        <b/>
        <sz val="10"/>
        <rFont val="Arial"/>
        <family val="2"/>
      </rPr>
      <t>5%</t>
    </r>
  </si>
  <si>
    <r>
      <t xml:space="preserve">Solo Cimento(Usina) - </t>
    </r>
    <r>
      <rPr>
        <b/>
        <sz val="10"/>
        <rFont val="Arial"/>
        <family val="2"/>
      </rPr>
      <t>6%</t>
    </r>
  </si>
  <si>
    <r>
      <t xml:space="preserve">Solo Cimento(Usina) - </t>
    </r>
    <r>
      <rPr>
        <b/>
        <sz val="10"/>
        <rFont val="Arial"/>
        <family val="2"/>
      </rPr>
      <t>7%</t>
    </r>
  </si>
  <si>
    <t>cartilha</t>
  </si>
  <si>
    <t>Anexo</t>
  </si>
  <si>
    <t>Quantidade
(projeto)</t>
  </si>
  <si>
    <t>Unid</t>
  </si>
  <si>
    <t>COPEL</t>
  </si>
  <si>
    <t>TERRAPLENAGEM</t>
  </si>
  <si>
    <t>REVESTIMENTO</t>
  </si>
  <si>
    <t>MEIO-FIO E SARJETA</t>
  </si>
  <si>
    <t>DRENAGEM</t>
  </si>
  <si>
    <t>SERVIÇOS PRELIMINARES</t>
  </si>
  <si>
    <t>SERVIÇOS EXTRAS - SERVIÇOS PRELIMINARES</t>
  </si>
  <si>
    <t>BASE / SUB-BASE</t>
  </si>
  <si>
    <t>SERVIÇOS EXTRAS - BASE / SUB-BASE</t>
  </si>
  <si>
    <t>PAISAGISMO / URBANISMO</t>
  </si>
  <si>
    <t>SINALIZAÇÃO DE TRÂNSITO</t>
  </si>
  <si>
    <t>SERVIÇOS EXTRAS - SINALIZAÇÃO DE TRÂNSITO</t>
  </si>
  <si>
    <t>ILUMINAÇÃO PÚBLICA</t>
  </si>
  <si>
    <t>9</t>
  </si>
  <si>
    <t>SERVIÇOS DIVERSOS</t>
  </si>
  <si>
    <t>10</t>
  </si>
  <si>
    <t>Limpeza de bueiro</t>
  </si>
  <si>
    <t>Limpeza e lavagem de sinalização vertical</t>
  </si>
  <si>
    <t>Limpeza e pintura de meio fio</t>
  </si>
  <si>
    <t>Remoção de cercas</t>
  </si>
  <si>
    <t>Escavação e carga mat. jazida 1a. cat./sem transporte</t>
  </si>
  <si>
    <t>Escavação e carga mat. jazida 2a. cat./sem transporte</t>
  </si>
  <si>
    <t>Escarificação e remoção revestimento primário</t>
  </si>
  <si>
    <t>Escarificação e conformação do subleito</t>
  </si>
  <si>
    <t>Escarificação da base</t>
  </si>
  <si>
    <t>Refôrço do Subleito c/ mat. de 1ª Cat (solos-argila e assemelhados)</t>
  </si>
  <si>
    <t>Refôrço do Subleito c/ mat. de 2ª Cat (saibro-moledo-cascalho)</t>
  </si>
  <si>
    <t>Brita 4A</t>
  </si>
  <si>
    <t>PM curitiba</t>
  </si>
  <si>
    <t>Retirada de Pedras Irregulares</t>
  </si>
  <si>
    <t>810250A</t>
  </si>
  <si>
    <t>810250B</t>
  </si>
  <si>
    <t>Fincadinha de concreto - (9x19x39cm-0,0171m3/m)</t>
  </si>
  <si>
    <t>810250C</t>
  </si>
  <si>
    <t>Fincadinha de concreto moldada in loco- (7x20cm-0,014m3/m)</t>
  </si>
  <si>
    <t>Fincadinha de Granito - (8x15cm-0,012m3/m)</t>
  </si>
  <si>
    <t>Refôrço do Subleito c/ mat. de 2ª Cat (saibro-moledo-cascalho) passeio</t>
  </si>
  <si>
    <t>Brita 4A - passeio</t>
  </si>
  <si>
    <t>Plantio de Grama em placas</t>
  </si>
  <si>
    <t>Plantio de Grama em mudas</t>
  </si>
  <si>
    <t xml:space="preserve">Faixa de Sinalização Horizontal c/tinta resina acrílica base solvente- (0,034 m2/m2) </t>
  </si>
  <si>
    <t>Tacha refletiva bidirecional</t>
  </si>
  <si>
    <t>Tacha refletiva monodirecional</t>
  </si>
  <si>
    <t>Tachão refletivo bidirecional</t>
  </si>
  <si>
    <t>Tachão refletivo monodirecional</t>
  </si>
  <si>
    <t>Demolição de Alvenaria</t>
  </si>
  <si>
    <t>IMPOSTOS</t>
  </si>
  <si>
    <t>TOTAL</t>
  </si>
  <si>
    <t>LUCRO</t>
  </si>
  <si>
    <t>PREÇO GLOBAL</t>
  </si>
  <si>
    <t>Corpo de BSTC ø 0,20 sem Berço e sem Armação</t>
  </si>
  <si>
    <t>Corpo de BSTC ø 0,30 sem Berço e sem Armação</t>
  </si>
  <si>
    <t>Corpo de BSTC ø 0,50 sem Berço e sem Armação</t>
  </si>
  <si>
    <t>Corpo de BSTC ø 0,70 sem Berço e sem Armação</t>
  </si>
  <si>
    <t>Locação direta de estruras em ramais de RDR</t>
  </si>
  <si>
    <t>Locação de estrutura em rede distribuição rural</t>
  </si>
  <si>
    <t>Locação de estrutura em rede distribuição urbana</t>
  </si>
  <si>
    <t>742A</t>
  </si>
  <si>
    <t>743A</t>
  </si>
  <si>
    <t>744A</t>
  </si>
  <si>
    <t>745A</t>
  </si>
  <si>
    <t>746A</t>
  </si>
  <si>
    <t>747A</t>
  </si>
  <si>
    <t>748A</t>
  </si>
  <si>
    <t>759A</t>
  </si>
  <si>
    <t>751A</t>
  </si>
  <si>
    <t>752A</t>
  </si>
  <si>
    <t>753A</t>
  </si>
  <si>
    <t>755A</t>
  </si>
  <si>
    <t>756A</t>
  </si>
  <si>
    <t>757A</t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</si>
  <si>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Cadeia de isoladores de disco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</si>
  <si>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Cruzeta símples sem isoladores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</si>
  <si>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Cruzeta dupla sem isoladores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</si>
  <si>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isolador de pino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</si>
  <si>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suporte T para fixação de chaves ou pára-raios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</si>
  <si>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Suporte ou afastador para isolador pilar</t>
    </r>
  </si>
  <si>
    <t>770A</t>
  </si>
  <si>
    <t>771A</t>
  </si>
  <si>
    <t>772A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</si>
  <si>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de estai de âncora simples ou reforçado para AT ou BT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</si>
  <si>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estai de âncora simples ou reforçado para AT ou BT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</si>
  <si>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de estai de contraposte simples para AT ou BT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</si>
  <si>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estai de contraposte simples para AT ou BT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</si>
  <si>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de estai de poste a poste para AT ou BT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</si>
  <si>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estai de poste a poste para AT ou BT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</si>
  <si>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cadeia de isoladores de disco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</si>
  <si>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cruzeta símples sem isoladores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</si>
  <si>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de estai provisório durante o lançamento e tensionamento de cabos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</si>
  <si>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cruzeta dupla sem isoladores</t>
    </r>
  </si>
  <si>
    <t>774A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</si>
  <si>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de estai de âncora com haste cimentada na rocha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</si>
  <si>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estai de âncora com haste cimentada na rocha</t>
    </r>
  </si>
  <si>
    <t>776A</t>
  </si>
  <si>
    <t>862A</t>
  </si>
  <si>
    <t>875A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</si>
  <si>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de dispositivo de segurança no estai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</si>
  <si>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dispositivo de segurança no estai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</si>
  <si>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concretagem</t>
    </r>
  </si>
  <si>
    <r>
      <t>MONTAGEM</t>
    </r>
    <r>
      <rPr>
        <sz val="10"/>
        <rFont val="Arial"/>
        <family val="2"/>
      </rPr>
      <t xml:space="preserve"> de sinalizador de estai de âncora</t>
    </r>
  </si>
  <si>
    <r>
      <t>Retirada</t>
    </r>
    <r>
      <rPr>
        <sz val="10"/>
        <rFont val="Arial"/>
        <family val="2"/>
      </rPr>
      <t xml:space="preserve"> de sinalizador de estai de âncora</t>
    </r>
  </si>
  <si>
    <t>947A</t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</si>
  <si>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suporte l ou suporte afastador para rede antifurto</t>
    </r>
  </si>
  <si>
    <t>760A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</si>
  <si>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afastador de armação secundária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</si>
  <si>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afastador de armação secundária</t>
    </r>
  </si>
  <si>
    <t>761A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</si>
  <si>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armação secundária. de 1 estribo ou parafuso com olhal</t>
    </r>
  </si>
  <si>
    <t>762A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</si>
  <si>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armação secundária com mais de 1 estribo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</si>
  <si>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armação secundária com mais de 1 estribo</t>
    </r>
  </si>
  <si>
    <r>
      <rPr>
        <b/>
        <sz val="10"/>
        <rFont val="Arial"/>
        <family val="2"/>
      </rPr>
      <t>Deslocamento ou reinstalação</t>
    </r>
    <r>
      <rPr>
        <sz val="10"/>
        <rFont val="Arial"/>
        <family val="2"/>
      </rPr>
      <t xml:space="preserve"> de armação secundária montada com
mais de 1 (um) estribo</t>
    </r>
  </si>
  <si>
    <t>780A</t>
  </si>
  <si>
    <t>781A</t>
  </si>
  <si>
    <t>782A</t>
  </si>
  <si>
    <t>783A</t>
  </si>
  <si>
    <t>784A</t>
  </si>
  <si>
    <t>785A</t>
  </si>
  <si>
    <t>786A</t>
  </si>
  <si>
    <t>787A</t>
  </si>
  <si>
    <t>790A</t>
  </si>
  <si>
    <r>
      <rPr>
        <b/>
        <sz val="10"/>
        <rFont val="Arial"/>
        <family val="2"/>
      </rPr>
      <t xml:space="preserve">MONTAGEM - </t>
    </r>
    <r>
      <rPr>
        <sz val="10"/>
        <rFont val="Arial"/>
        <family val="2"/>
      </rPr>
      <t>lançamento de cabo de alumínio de AT, acima 02 AWG até 2/0 AWG CA ou CAA e cabo alumínio 4/0 CA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</si>
  <si>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cabo de alumínio de AT, acima 02 AWG até 2/0 AWG CA ou CAA e cabo alumínio 4/0 CA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</si>
  <si>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lançamento de cabo de alumínio de at, de 4/0 AWG até 336,4 mcm CAA e cabo de alumínio acima de 4/0 AWG até 336,4 mcm CA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</si>
  <si>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cabo de alumínio de at, de 4/0 AWG até 336,4 mcm CAA e cabo de alumínio acima de 4/0 AWG até 336,4 mcm CA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</si>
  <si>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lançamento de cabo de alumínio de AT, acima 336,4 mcm CA ou CAA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</si>
  <si>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cabo de alumínio de AT, acima 336,4 mcm CA ou CAA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</si>
  <si>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lançamento de cabo ou fio de cobre de AT, até 35 mm24/0 AWG até 336,4 mcm CA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</si>
  <si>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lançamento de cabo de cobre de AT, acima de 35 mm2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</si>
  <si>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cabo de cobre de AT, acima de 35 mm2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</si>
  <si>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lançamento de cabo de AT, aço 3x2,25mm, aço-alumínio 3x10 AWG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</si>
  <si>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cabo de AT, aço 3x2,25mm, aço-alumínio 3x10 AWG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</si>
  <si>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lançamento do fio de aço 3,09 mm de AT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</si>
  <si>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fio de aço 3,09 mm de AT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</si>
  <si>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lançamento de cabo subterrâneo de alta tensão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</si>
  <si>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cabo subterrâneo de alta tensão</t>
    </r>
  </si>
  <si>
    <r>
      <rPr>
        <b/>
        <sz val="10"/>
        <rFont val="Arial"/>
        <family val="2"/>
      </rPr>
      <t>Retensionamento</t>
    </r>
    <r>
      <rPr>
        <sz val="10"/>
        <rFont val="Arial"/>
        <family val="2"/>
      </rPr>
      <t xml:space="preserve"> de cabos existentes em AT, </t>
    </r>
    <r>
      <rPr>
        <b/>
        <sz val="10"/>
        <rFont val="Arial"/>
        <family val="2"/>
      </rPr>
      <t>por cabo</t>
    </r>
  </si>
  <si>
    <t>1</t>
  </si>
  <si>
    <t>860A</t>
  </si>
  <si>
    <t>864A</t>
  </si>
  <si>
    <t>866A</t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</si>
  <si>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canaleta para proteção do cabo condutor AT / BT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</si>
  <si>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canaleta para proteção do cabo condutor AT / BT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</si>
  <si>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esfera de sinalaização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</si>
  <si>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eletroduto para rede subterrânea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</si>
  <si>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eletroduto para rede subterrânea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</si>
  <si>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esfera de sinalaização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</si>
  <si>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cabo ou fio de cobre de AT, até 35 mm24/0 AWG até 336,4 mcm CA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</si>
  <si>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levantamento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auxiliar para entrada serviço de unidade consumidora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</si>
  <si>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auxiliar para entrada serviço de unidade consumidora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</si>
  <si>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levantamento de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até 12 metros de altura com resistência até 1000 DAN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</si>
  <si>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até 12 metros de altura com resistência até 1000 DAN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</si>
  <si>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levantamento de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até 12 metros de altura com resistência acima 1000 DAN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</si>
  <si>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até 12 metros de altura com resistência.
acima 1000 DAN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</si>
  <si>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levantamento de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entre 13 a 15 metros de altura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</si>
  <si>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entre 13 a 15 metros de altura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</si>
  <si>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levantamento de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de 15 a 18 metros de altura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</si>
  <si>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de 15 a 18 metros de altura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</si>
  <si>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levantamento de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acima de 18 metros de altura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</si>
  <si>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acima de 18 metros de altura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</si>
  <si>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proteção de </t>
    </r>
    <r>
      <rPr>
        <b/>
        <sz val="10"/>
        <rFont val="Arial"/>
        <family val="2"/>
      </rPr>
      <t>POSTE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</si>
  <si>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proteção de </t>
    </r>
    <r>
      <rPr>
        <b/>
        <sz val="10"/>
        <rFont val="Arial"/>
        <family val="2"/>
      </rPr>
      <t>POSTE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</si>
  <si>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defensa de </t>
    </r>
    <r>
      <rPr>
        <b/>
        <sz val="10"/>
        <rFont val="Arial"/>
        <family val="2"/>
      </rPr>
      <t>POSTE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</si>
  <si>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armação secundária. de 1 estribo ou parafuso com olhal</t>
    </r>
  </si>
  <si>
    <t>794A</t>
  </si>
  <si>
    <t>795A</t>
  </si>
  <si>
    <t>792A</t>
  </si>
  <si>
    <t>796A</t>
  </si>
  <si>
    <t>867A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</si>
  <si>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lançamento de cabo de alumínio de BT, até 02 AWG CA ou CAA</t>
    </r>
  </si>
  <si>
    <r>
      <rPr>
        <b/>
        <sz val="10"/>
        <rFont val="Arial"/>
        <family val="2"/>
      </rPr>
      <t xml:space="preserve">MONTAGEM - </t>
    </r>
    <r>
      <rPr>
        <sz val="10"/>
        <rFont val="Arial"/>
        <family val="2"/>
      </rPr>
      <t>lançamento de cabo de alumínio de AT, até 02 AWG CA ou CAA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</si>
  <si>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cabo de alumínio de AT, até 02 AWG CA ou CAA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</si>
  <si>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lançamento de cabo de alumínio de BT, acima 02 AWG até 2/0 AWG CA ou CAA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</si>
  <si>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lançamento de cabo ou fio de cobre de BT, até 35 mm2</t>
    </r>
  </si>
  <si>
    <t>Retirada de cabo ou fio de cobre de BT, até 35 mm2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</si>
  <si>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lançamento de cabo ou fio de cobre de BT, acima 35 mm2</t>
    </r>
  </si>
  <si>
    <t>Retirada de cabo ou fio de cobre de BT, acima 35 mm2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</si>
  <si>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lançamento de cabo subterrâneo de baixa tensão</t>
    </r>
  </si>
  <si>
    <t>Retirada de cabo subterrâneo de baixa tensão</t>
  </si>
  <si>
    <t>Retirada de espaçador de cabos em vão de baixa tensão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</si>
  <si>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espaçador de cabos em vão de baixa tensão</t>
    </r>
  </si>
  <si>
    <t>813A</t>
  </si>
  <si>
    <t>8712A</t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</si>
  <si>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descida suplementar de proteção para aterramento de transformador de 33kv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</si>
  <si>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descida suplementar de proteção para aterramento de transformador de 33kv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</si>
  <si>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aterramento temporário para rede de AT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</si>
  <si>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aterramento temporário para rede de BT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</si>
  <si>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haste de aterramento de aço cobre, primeira haste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</si>
  <si>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haste de aterramento de aço cobre, demais hastes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</si>
  <si>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haste de aterramento de aço cobre, haste profunda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</si>
  <si>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haste de aterramento zincada para cerca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</si>
  <si>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malha de aterramento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</si>
  <si>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aplicação de produtos químicos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</si>
  <si>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instalação do aterramento temporário tipo sela</t>
    </r>
  </si>
  <si>
    <r>
      <rPr>
        <b/>
        <sz val="10"/>
        <rFont val="Arial"/>
        <family val="2"/>
      </rPr>
      <t>MONTAGEM -</t>
    </r>
    <r>
      <rPr>
        <sz val="10"/>
        <rFont val="Arial"/>
        <family val="2"/>
      </rPr>
      <t xml:space="preserve"> seccionamento de cerca, por seccionador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</si>
  <si>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seccionamento de cerca, por seccionador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</si>
  <si>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Aprumar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existente equipado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</si>
  <si>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Deslocamento de </t>
    </r>
    <r>
      <rPr>
        <b/>
        <sz val="10"/>
        <rFont val="Arial"/>
        <family val="2"/>
      </rPr>
      <t>POSTE</t>
    </r>
    <r>
      <rPr>
        <sz val="10"/>
        <rFont val="Arial"/>
        <family val="2"/>
      </rPr>
      <t xml:space="preserve"> equipado existente até 0,30 metros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</si>
  <si>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</t>
    </r>
    <r>
      <rPr>
        <b/>
        <sz val="10"/>
        <rFont val="Arial"/>
        <family val="2"/>
      </rPr>
      <t>Instalação</t>
    </r>
    <r>
      <rPr>
        <sz val="10"/>
        <rFont val="Arial"/>
        <family val="2"/>
      </rPr>
      <t xml:space="preserve"> de defensa de </t>
    </r>
    <r>
      <rPr>
        <b/>
        <sz val="10"/>
        <rFont val="Arial"/>
        <family val="2"/>
      </rPr>
      <t>POSTE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</si>
  <si>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</t>
    </r>
    <r>
      <rPr>
        <b/>
        <sz val="10"/>
        <rFont val="Arial"/>
        <family val="2"/>
      </rPr>
      <t>Reinstalação</t>
    </r>
    <r>
      <rPr>
        <sz val="10"/>
        <rFont val="Arial"/>
        <family val="2"/>
      </rPr>
      <t xml:space="preserve"> de cruzeta dupla montada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</si>
  <si>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</t>
    </r>
    <r>
      <rPr>
        <b/>
        <sz val="10"/>
        <rFont val="Arial"/>
        <family val="2"/>
      </rPr>
      <t>Instalação</t>
    </r>
    <r>
      <rPr>
        <sz val="10"/>
        <rFont val="Arial"/>
        <family val="2"/>
      </rPr>
      <t xml:space="preserve"> de isolador de pino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</si>
  <si>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</t>
    </r>
    <r>
      <rPr>
        <b/>
        <sz val="10"/>
        <rFont val="Arial"/>
        <family val="2"/>
      </rPr>
      <t>Iinstalação</t>
    </r>
    <r>
      <rPr>
        <sz val="10"/>
        <rFont val="Arial"/>
        <family val="2"/>
      </rPr>
      <t xml:space="preserve"> de suporte T para fixação de chaves ou pára-raios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</si>
  <si>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</t>
    </r>
    <r>
      <rPr>
        <b/>
        <sz val="10"/>
        <rFont val="Arial"/>
        <family val="2"/>
      </rPr>
      <t>Instalação</t>
    </r>
    <r>
      <rPr>
        <sz val="10"/>
        <rFont val="Arial"/>
        <family val="2"/>
      </rPr>
      <t xml:space="preserve"> de Suporte ou afastador para isolador pilar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</si>
  <si>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</t>
    </r>
    <r>
      <rPr>
        <b/>
        <sz val="10"/>
        <rFont val="Arial"/>
        <family val="2"/>
      </rPr>
      <t>Instalação</t>
    </r>
    <r>
      <rPr>
        <sz val="10"/>
        <rFont val="Arial"/>
        <family val="2"/>
      </rPr>
      <t xml:space="preserve"> de suporte l ou suporte afastador para rede antifurto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</si>
  <si>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Corte de poste de concreto ou madeira para escora subsolo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</si>
  <si>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Escora de subsolo simples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</si>
  <si>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Escora de subsolo dupla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</si>
  <si>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</t>
    </r>
    <r>
      <rPr>
        <b/>
        <sz val="10"/>
        <rFont val="Arial"/>
        <family val="2"/>
      </rPr>
      <t>Retensionamento</t>
    </r>
    <r>
      <rPr>
        <sz val="10"/>
        <rFont val="Arial"/>
        <family val="2"/>
      </rPr>
      <t xml:space="preserve"> de cabo aço do estai simples ou reforçado
existente</t>
    </r>
  </si>
  <si>
    <r>
      <rPr>
        <sz val="10"/>
        <rFont val="Arial"/>
        <family val="2"/>
      </rPr>
      <t>MONTAGEM</t>
    </r>
    <r>
      <rPr>
        <b/>
        <sz val="10"/>
        <rFont val="Arial"/>
        <family val="2"/>
      </rPr>
      <t xml:space="preserve"> - Concretagem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</si>
  <si>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</t>
    </r>
    <r>
      <rPr>
        <b/>
        <sz val="10"/>
        <rFont val="Arial"/>
        <family val="2"/>
      </rPr>
      <t>Retensionamento</t>
    </r>
    <r>
      <rPr>
        <sz val="10"/>
        <rFont val="Arial"/>
        <family val="2"/>
      </rPr>
      <t xml:space="preserve"> de cabos existentes em BT, </t>
    </r>
    <r>
      <rPr>
        <b/>
        <sz val="10"/>
        <rFont val="Arial"/>
        <family val="2"/>
      </rPr>
      <t>por cabo</t>
    </r>
  </si>
  <si>
    <t>834A</t>
  </si>
  <si>
    <t>836A</t>
  </si>
  <si>
    <t>793A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</si>
  <si>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base p/ relé iluminação públ. comando grupo ou individual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</si>
  <si>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braço de iluminação pública de até 2m de comprimento, com luminária aberta ou fechada, com lâmpada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</si>
  <si>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braço de iluminação pública de até 2m de comprimento, com luminária aberta ou fechada, com lâmpada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</si>
  <si>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braço de iluminação pública acima de 2m de comprimento, com luminária aberta ou fechada, com lâmpada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</si>
  <si>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deslocamento de luminária montada</t>
    </r>
  </si>
  <si>
    <t>835A</t>
  </si>
  <si>
    <t>838A</t>
  </si>
  <si>
    <t>839A</t>
  </si>
  <si>
    <t>840A</t>
  </si>
  <si>
    <t>841A</t>
  </si>
  <si>
    <t>842A</t>
  </si>
  <si>
    <t>845A</t>
  </si>
  <si>
    <t>843A</t>
  </si>
  <si>
    <t>859A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</si>
  <si>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luminária exceto braço para iluminação pública</t>
    </r>
  </si>
  <si>
    <t>Retirada de luminária exceto braço para iluminação pública</t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</si>
  <si>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luminária tipo pétala para iluminação pública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</si>
  <si>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luminária tipo pétala para iluminação pública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</si>
  <si>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poste ornamental de aço tipo chicote simples ou duplo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</si>
  <si>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poste ornamental até 5 metros altura útil com luminária decorativa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</si>
  <si>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reator para lâmpada vapor de mercúrio (vmc), vapor de sódio (vsa) e vapor metálico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</si>
  <si>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reator para lâmpada vapor de mercúrio (vmc), vapor de sódio (vsa) e vapor metálico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</si>
  <si>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refletor para lâmpada incandescente, mista, vapor de mercúrio, vapor de sódio e vapor metálico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</si>
  <si>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reinstalação de luminária montada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</si>
  <si>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relé fotelétrico de iluminação pública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</si>
  <si>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relé fotelétrico de iluminação pública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</si>
  <si>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substituição de lâmpada de iluminação pública</t>
    </r>
  </si>
  <si>
    <r>
      <rPr>
        <b/>
        <sz val="10"/>
        <rFont val="Arial"/>
        <family val="2"/>
      </rPr>
      <t>MONTAGEM</t>
    </r>
    <r>
      <rPr>
        <sz val="10"/>
        <rFont val="Arial"/>
        <family val="2"/>
      </rPr>
      <t xml:space="preserve"> - caixa de proteção padrão copel, tipo a ou b para iluminação pública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</si>
  <si>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caixa de proteção padrão copel, tipo a ou b para iluminação pública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</si>
  <si>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poste ornamental até 5 metros altura útil com luminária decorativa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</si>
  <si>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braço de iluminação pública acima de 2m de comprimento, com luminária aberta ou fechada, com lâmpada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</si>
  <si>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base p/ relé iluminação públ. comando grupo ou individual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</si>
  <si>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cabo de alumínio de BT, acima 02 AWG até 2/0 AWG CA ou CAA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</si>
  <si>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cabo de alumínio de BT, até 02 AWG CA ou CAA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</si>
  <si>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refletor para lâmpada incandescente, mista, vapor de mercúrio, vapor de sódio e vapor metálicoberta ou fechada, com lâmpada</t>
    </r>
  </si>
  <si>
    <r>
      <rPr>
        <b/>
        <sz val="10"/>
        <rFont val="Arial"/>
        <family val="2"/>
      </rPr>
      <t>Retirada</t>
    </r>
    <r>
      <rPr>
        <sz val="10"/>
        <rFont val="Arial"/>
        <family val="2"/>
      </rPr>
      <t xml:space="preserve"> de poste ornamental de aço tipo chicote simples ou duplo</t>
    </r>
  </si>
  <si>
    <t>SERVIÇOS EXTRAS - ILUMINAÇÃO PÚBLICA</t>
  </si>
  <si>
    <t>Corpo de BSTC ø 0,70 Sem Berço c/ Armação Símples CA-1</t>
  </si>
  <si>
    <t>Corpo de BSTC ø 0,90 Sem Berço c/ Armação Símples CA-1</t>
  </si>
  <si>
    <t>Corpo de BSTC ø 0,50 Sem Berço c/ Armação Símples CA-1</t>
  </si>
  <si>
    <t>Corpo de BSTC ø 0,50 Sem Berço c/ Armação Dupla CA-2</t>
  </si>
  <si>
    <t>Corpo de BSTC ø 0,70 Sem Berço c/ Armação Dupla CA-2</t>
  </si>
  <si>
    <t>Corpo de BSTC ø 0,90 Sem Berço c/ Armação Dupla CA-2</t>
  </si>
  <si>
    <t>Corpo de BSTC ø 0,50 Com Berço c/ Armação Dupla CA-2</t>
  </si>
  <si>
    <t>Corpo de BSTC ø 0,70 Com Berço c/ Armação Dupla CA-2</t>
  </si>
  <si>
    <t>Corpo de BSTC ø 0,90 Com Berço c/ Armação Dupla CA-2</t>
  </si>
  <si>
    <t>TOTAL DO PAVIMENTO (1-2-3-4-5)</t>
  </si>
  <si>
    <t>TOTAL DE ILUMINAÇÃO PÚBLICA (8)</t>
  </si>
  <si>
    <t>TOTAL DE SEVIÇOS DIVERSOS (9)</t>
  </si>
  <si>
    <t>TOTAL DE DRENAGEM (10)</t>
  </si>
  <si>
    <t>TOTAL DE URBANISMO E SINALIZAÇÃO(6-7)</t>
  </si>
  <si>
    <t>Remoção manual de entulho</t>
  </si>
  <si>
    <t>Remoção de Revestimento Primário</t>
  </si>
  <si>
    <t>Demolição Mecânica de Pavimento e Transporte</t>
  </si>
  <si>
    <t>SERVIÇOS EXTRAS - SERVIÇOS DIVERSOS</t>
  </si>
  <si>
    <t>Remanejamento postes linha transmissão</t>
  </si>
  <si>
    <t>11</t>
  </si>
  <si>
    <t xml:space="preserve">Ensaio de Massa Específica - In Situ - Método Frasco de Areia (Grau de Compactação) - Terraplenagem </t>
  </si>
  <si>
    <t xml:space="preserve">Ensaio de Massa Específica - In Situ - Método Frasco de Areia (Grau de Compactação) - Reforço do Subleito </t>
  </si>
  <si>
    <t>Ensaio de Massa Específica - In Situ - Método Frasco de Areia (Grau de Compactação) - Regularização e Compactação do Subleito</t>
  </si>
  <si>
    <t>Ensaio de Massa Específica - In Situ - Método Frasco de Areia (Grau de Compactação) - Sub-base e Base</t>
  </si>
  <si>
    <t>Ensaio de Granulometria do Agregado</t>
  </si>
  <si>
    <t>74022/27</t>
  </si>
  <si>
    <t>Ensaio de Controle de Taxa de Aplicação de Ligante Betuminoso</t>
  </si>
  <si>
    <t>74022/50</t>
  </si>
  <si>
    <t>Ensaio de Determinação da Taxa de Espalhamento do Agregado</t>
  </si>
  <si>
    <t>Ensaio de Percentagem de Betume - Misturas Betuminosas</t>
  </si>
  <si>
    <t>74022/53</t>
  </si>
  <si>
    <t>Ensaio de Controle do Grau de Compactação da Mistura Asfáltica</t>
  </si>
  <si>
    <t>74022/56</t>
  </si>
  <si>
    <t>Ensaio de Densidade do Material Betuminoso</t>
  </si>
  <si>
    <t>SERVIÇOS EXTRAS - ENSAIOS TECNOLÓGICOS</t>
  </si>
  <si>
    <t>gb</t>
  </si>
  <si>
    <t>DAER/RS</t>
  </si>
  <si>
    <t>TOTAL DE ENSAIOS TECNOLÓGICOS (11)</t>
  </si>
  <si>
    <t xml:space="preserve">     </t>
  </si>
  <si>
    <t>%</t>
  </si>
  <si>
    <t>560100A</t>
  </si>
  <si>
    <t>560100B</t>
  </si>
  <si>
    <t>Fincadinha de concreto - (5x22,5x45cm-0,01125m3/m)</t>
  </si>
  <si>
    <t>820000I</t>
  </si>
  <si>
    <t>BDI (%) - SERVIÇOS</t>
  </si>
  <si>
    <t>BDI (%) - BETUMES</t>
  </si>
  <si>
    <t>1 - Solicitar o valor do ISS do município</t>
  </si>
  <si>
    <t>2- Solicitar a "Base de Cálculo" (% de mão de Obra)</t>
  </si>
  <si>
    <t>Calçada Concreto ( e = 6,00 cm )</t>
  </si>
  <si>
    <t>Calçada Concreto ( e = 7,00 cm )</t>
  </si>
  <si>
    <t>Limpeza e desobstrução de bueiros simples</t>
  </si>
  <si>
    <t>Limpeza e desobstrução de bueiros duplos</t>
  </si>
  <si>
    <t>Limpeza e desobstrução de bueiros triplos</t>
  </si>
  <si>
    <t>Boca de saída de dreno ø 0,20</t>
  </si>
  <si>
    <t>Boca (Ala) de BSTC ø 0,30 m</t>
  </si>
  <si>
    <t>Boca (Ala) de BSTC ø 0,50 m</t>
  </si>
  <si>
    <t>Boca (Ala) de BSTC ø 0,70 m</t>
  </si>
  <si>
    <t>ENSAIOS TECNOLÓGICOS</t>
  </si>
  <si>
    <t>Calçada Concreto ( e = 8,00 cm )</t>
  </si>
  <si>
    <t>=ISS x base de cálculo</t>
  </si>
  <si>
    <t>Saibro Compactado CBR&gt;=20 (Base ou Sub-Base)</t>
  </si>
  <si>
    <t>Moledo  Compactado CBR&gt;=20(Base ou Sub-Base)</t>
  </si>
  <si>
    <t>Placa sinalização refletiva-retangular dupla (duas de-0,20x060) em L (0,2400 m2/ud) + suporte METÁLICO</t>
  </si>
  <si>
    <t>Concreto Ciclópico 11 Mpa (30% em volume de Pedra de Mão)</t>
  </si>
  <si>
    <t>tampão
161125</t>
  </si>
  <si>
    <r>
      <t>Digite  "</t>
    </r>
    <r>
      <rPr>
        <b/>
        <sz val="10"/>
        <rFont val="MS Sans Serif"/>
      </rPr>
      <t>X</t>
    </r>
    <r>
      <rPr>
        <sz val="10"/>
        <rFont val="MS Sans Serif"/>
      </rPr>
      <t>" para obter Valor Total sem BDI</t>
    </r>
  </si>
  <si>
    <t>Barreira New Jersey simples de concreto, não armada, executada com</t>
  </si>
  <si>
    <t>Barreira New Jersey dupla de concreto, não armada, executada com</t>
  </si>
  <si>
    <t>8.1</t>
  </si>
  <si>
    <t>5.1</t>
  </si>
  <si>
    <t>SEIL/2016</t>
  </si>
  <si>
    <t>3.20</t>
  </si>
  <si>
    <t>7.1</t>
  </si>
  <si>
    <t>Imprimação com Emulsão EAI - exclusive emulsão</t>
  </si>
  <si>
    <t>Imprimação com  CM-30 - exclusive CM-30</t>
  </si>
  <si>
    <t>Lama Asfáltica ( faixa " 1 " ) - 2 mm - exclusive emulsão (0,0015)</t>
  </si>
  <si>
    <t>taxa RL</t>
  </si>
  <si>
    <t>Lama Asfáltica ( faixa " 4 " ) -12 mm - exclusive emulsão (0,0026)</t>
  </si>
  <si>
    <t>Lama Asfáltica ( faixa " 2 " ) - 4 mm - exclusive emulsão (0,0018)</t>
  </si>
  <si>
    <t>Lama Asfáltica ( faixa " 3" ) - 8 mm - exclusive emulsão (0,0020)</t>
  </si>
  <si>
    <t>Fornecimento de CM-30 - imprimação</t>
  </si>
  <si>
    <t>Fornecimento de emulsão RR-2C - Trat.Sup.Tríplo ( TST ) Tipo I-5</t>
  </si>
  <si>
    <t>Fornecimento de CAP - Macadame Betuminoso</t>
  </si>
  <si>
    <t>Fornecimento de emulsão RR-2C - Capa Selante</t>
  </si>
  <si>
    <t>Fornecimento de CAP - Pré-Misturado a Quente (menor que 10000 ton)</t>
  </si>
  <si>
    <t>Fornecimento de CAP - Pré-Misturado a Quente (maior que 10000 ton)</t>
  </si>
  <si>
    <t>Fornecimento de CAP - CBUQ (Quantidade menor que 10000 toneladas)</t>
  </si>
  <si>
    <t>Fornecimento de CAP - CBUQ (Quantidade maior que 10000 toneladas)</t>
  </si>
  <si>
    <t>Fornecimento de CAP SBS(60/85) - CBUQ c/ asfalto modificado p/ polímero</t>
  </si>
  <si>
    <t>taxa RR-2C</t>
  </si>
  <si>
    <t>taxa CAP</t>
  </si>
  <si>
    <t>taxa RM-2C</t>
  </si>
  <si>
    <t>taxa CAP 
SBS(60/85)</t>
  </si>
  <si>
    <t>taxa CAP 
borracha</t>
  </si>
  <si>
    <t xml:space="preserve">ton </t>
  </si>
  <si>
    <t>taxa RR-1C</t>
  </si>
  <si>
    <r>
      <rPr>
        <b/>
        <sz val="12"/>
        <rFont val="Arial"/>
        <family val="2"/>
      </rPr>
      <t>CBUQ - BINDER</t>
    </r>
    <r>
      <rPr>
        <sz val="10"/>
        <rFont val="Arial"/>
        <family val="2"/>
      </rPr>
      <t xml:space="preserve"> (Quantidade menor que 10000 toneladas)</t>
    </r>
  </si>
  <si>
    <t>SERVIÇOS DE URBANIZAÇÃO</t>
  </si>
  <si>
    <r>
      <t>Pré-Misturado a Frio (aberto) - DER - (</t>
    </r>
    <r>
      <rPr>
        <b/>
        <sz val="10"/>
        <rFont val="Arial"/>
        <family val="2"/>
      </rPr>
      <t>REPERFILAMENTO</t>
    </r>
    <r>
      <rPr>
        <sz val="10"/>
        <rFont val="Arial"/>
        <family val="2"/>
      </rPr>
      <t>)</t>
    </r>
  </si>
  <si>
    <r>
      <t>Pré-Misturado a Frio (aberto) - DER - (</t>
    </r>
    <r>
      <rPr>
        <b/>
        <sz val="10"/>
        <rFont val="Arial"/>
        <family val="2"/>
      </rPr>
      <t>TAPA - BURACO</t>
    </r>
    <r>
      <rPr>
        <sz val="10"/>
        <rFont val="Arial"/>
        <family val="2"/>
      </rPr>
      <t>)</t>
    </r>
  </si>
  <si>
    <r>
      <t>Pré-Misturado a Frio (aberto) - DER - (</t>
    </r>
    <r>
      <rPr>
        <b/>
        <sz val="10"/>
        <rFont val="Arial"/>
        <family val="2"/>
      </rPr>
      <t>CAPA</t>
    </r>
    <r>
      <rPr>
        <sz val="10"/>
        <rFont val="Arial"/>
        <family val="2"/>
      </rPr>
      <t>)</t>
    </r>
  </si>
  <si>
    <r>
      <t>Pré-Misturado a Frio (Semi-Denso) - DER - (</t>
    </r>
    <r>
      <rPr>
        <b/>
        <sz val="10"/>
        <rFont val="Arial"/>
        <family val="2"/>
      </rPr>
      <t>REPERFILAMENTO</t>
    </r>
    <r>
      <rPr>
        <sz val="10"/>
        <rFont val="Arial"/>
        <family val="2"/>
      </rPr>
      <t>)</t>
    </r>
  </si>
  <si>
    <r>
      <t>Pré-Misturado a Frio (Semi-Denso) - DER - (</t>
    </r>
    <r>
      <rPr>
        <b/>
        <sz val="10"/>
        <rFont val="Arial"/>
        <family val="2"/>
      </rPr>
      <t>CAPA</t>
    </r>
    <r>
      <rPr>
        <sz val="10"/>
        <rFont val="Arial"/>
        <family val="2"/>
      </rPr>
      <t>)</t>
    </r>
  </si>
  <si>
    <t>PAVIMENTAÇÃO</t>
  </si>
  <si>
    <t>SINAPI</t>
  </si>
  <si>
    <r>
      <rPr>
        <b/>
        <sz val="12"/>
        <rFont val="Arial"/>
        <family val="2"/>
      </rPr>
      <t>CBUQ - BINDER</t>
    </r>
    <r>
      <rPr>
        <sz val="10"/>
        <rFont val="Arial"/>
        <family val="2"/>
      </rPr>
      <t xml:space="preserve"> (Quantidade maior que 10000 toneladas)</t>
    </r>
  </si>
  <si>
    <t>CBUQ - REMENDO (MANUAL)</t>
  </si>
  <si>
    <t>CBUQ - REMENDO (NECÂNICO)</t>
  </si>
  <si>
    <t>534000A</t>
  </si>
  <si>
    <t>534000B</t>
  </si>
  <si>
    <t>7.4</t>
  </si>
  <si>
    <t>aço
ca 50</t>
  </si>
  <si>
    <t>aço
ca 25</t>
  </si>
  <si>
    <t>Concr
18 mpa</t>
  </si>
  <si>
    <t>Origem</t>
  </si>
  <si>
    <t>Projeto:</t>
  </si>
  <si>
    <t>Experiência:</t>
  </si>
  <si>
    <t xml:space="preserve">1 - </t>
  </si>
  <si>
    <t>PAVIMENTAÇÃO (IMPLANTAÇÃO - RESTAURAÇÃO DE PAVIMENTO - IMPLASNTAÇÃO + RECAPE)</t>
  </si>
  <si>
    <r>
      <t xml:space="preserve">PRAZOS E ÁREAS MÁXIMAS DE </t>
    </r>
    <r>
      <rPr>
        <b/>
        <sz val="16"/>
        <color theme="1"/>
        <rFont val="Calibri"/>
        <family val="2"/>
        <scheme val="minor"/>
      </rPr>
      <t>PAVIMENTAÇÃO</t>
    </r>
    <r>
      <rPr>
        <b/>
        <sz val="11"/>
        <color theme="1"/>
        <rFont val="Calibri"/>
        <family val="2"/>
        <scheme val="minor"/>
      </rPr>
      <t xml:space="preserve"> PARA O CRONOGRMA</t>
    </r>
  </si>
  <si>
    <t>Prazo do</t>
  </si>
  <si>
    <t>Áreas Máximas</t>
  </si>
  <si>
    <t>Cronograma  (N)</t>
  </si>
  <si>
    <t>de</t>
  </si>
  <si>
    <t>até</t>
  </si>
  <si>
    <t>3 meses</t>
  </si>
  <si>
    <t>-</t>
  </si>
  <si>
    <t>2.000  m2</t>
  </si>
  <si>
    <t>4 meses</t>
  </si>
  <si>
    <t>4.000  m2</t>
  </si>
  <si>
    <t>5 meses</t>
  </si>
  <si>
    <t>8.000  m2</t>
  </si>
  <si>
    <t>Obs.</t>
  </si>
  <si>
    <t>Para áreas maiores que 30.000 m2  :    Dividir em "Lotes"</t>
  </si>
  <si>
    <t>6 meses</t>
  </si>
  <si>
    <t>13.000  m2</t>
  </si>
  <si>
    <t>7 meses</t>
  </si>
  <si>
    <t>18.000  m2</t>
  </si>
  <si>
    <t>8 meses</t>
  </si>
  <si>
    <t>24.000  m2</t>
  </si>
  <si>
    <t>9 meses</t>
  </si>
  <si>
    <t>30.000  m2</t>
  </si>
  <si>
    <t>RECAPE ASFÁLTICO</t>
  </si>
  <si>
    <t>PRAZOS E ÁREAS MÁXIMAS DE RECAPE PARA O CRONOGRMA</t>
  </si>
  <si>
    <t>10.000  m2</t>
  </si>
  <si>
    <t>15.000  m2</t>
  </si>
  <si>
    <t>Para áreas maiores que 60.000 m2  :    Dividir em "Lotes"</t>
  </si>
  <si>
    <t>20.000  m2</t>
  </si>
  <si>
    <t>40.000  m2</t>
  </si>
  <si>
    <t>50.000  m2</t>
  </si>
  <si>
    <t>60.000  m2</t>
  </si>
  <si>
    <r>
      <t>SECRETARIA DE ESTADO DO DESENVOLVIMENTO URBANO -</t>
    </r>
    <r>
      <rPr>
        <b/>
        <sz val="10"/>
        <rFont val="Arial"/>
        <family val="2"/>
      </rPr>
      <t xml:space="preserve"> </t>
    </r>
    <r>
      <rPr>
        <b/>
        <sz val="12"/>
        <rFont val="Arial"/>
        <family val="2"/>
      </rPr>
      <t>SEDU</t>
    </r>
  </si>
  <si>
    <t>Edital no Município</t>
  </si>
  <si>
    <t>Procedimento prévio</t>
  </si>
  <si>
    <t>Início previsto da Obra</t>
  </si>
  <si>
    <t>Empréstimo</t>
  </si>
  <si>
    <t>Data</t>
  </si>
  <si>
    <t>Dias</t>
  </si>
  <si>
    <t>Contrapartida do Proponente</t>
  </si>
  <si>
    <t>Quantidade:</t>
  </si>
  <si>
    <t>CRONOGRAMA FÍSICO FINANCEIRO</t>
  </si>
  <si>
    <t>Valor Total</t>
  </si>
  <si>
    <t>GRUPO</t>
  </si>
  <si>
    <t>SERVIÇOS</t>
  </si>
  <si>
    <t>PARCELAS (%)</t>
  </si>
  <si>
    <t>% S/</t>
  </si>
  <si>
    <t>Controle</t>
  </si>
  <si>
    <t>ITEM</t>
  </si>
  <si>
    <t>ITEM (R$)</t>
  </si>
  <si>
    <t>Data Início</t>
  </si>
  <si>
    <t>Data Fim</t>
  </si>
  <si>
    <t>TOTAIS</t>
  </si>
  <si>
    <t>COMPOSIÇÃO DOS RECURSOS (FINANCIAMENTO E CONTRAPARTIDA)</t>
  </si>
  <si>
    <t>PARCELAS</t>
  </si>
  <si>
    <t>Nº DE</t>
  </si>
  <si>
    <t>MESES</t>
  </si>
  <si>
    <t>1T</t>
  </si>
  <si>
    <t>FINANCIAMENTO</t>
  </si>
  <si>
    <t>R$</t>
  </si>
  <si>
    <t>1C</t>
  </si>
  <si>
    <t>CONTRAPARTIDA</t>
  </si>
  <si>
    <t>2T</t>
  </si>
  <si>
    <t>2C</t>
  </si>
  <si>
    <t>3T</t>
  </si>
  <si>
    <t>3C</t>
  </si>
  <si>
    <t>4T</t>
  </si>
  <si>
    <t>4C</t>
  </si>
  <si>
    <t>5T</t>
  </si>
  <si>
    <t>5C</t>
  </si>
  <si>
    <t>6T</t>
  </si>
  <si>
    <t>6C</t>
  </si>
  <si>
    <t>7T</t>
  </si>
  <si>
    <t>7C</t>
  </si>
  <si>
    <t>8T</t>
  </si>
  <si>
    <t>8C</t>
  </si>
  <si>
    <t>9T</t>
  </si>
  <si>
    <t>9C</t>
  </si>
  <si>
    <t>10T</t>
  </si>
  <si>
    <t>10C</t>
  </si>
  <si>
    <t>11T</t>
  </si>
  <si>
    <t>11C</t>
  </si>
  <si>
    <t>T</t>
  </si>
  <si>
    <t>C</t>
  </si>
  <si>
    <t>FATURAMENTO MENSAL PREVISTO</t>
  </si>
  <si>
    <t>MENSAL PARCIAL PREVISTO EM %</t>
  </si>
  <si>
    <t>MENSAL ACUMULADO PREVISTO EM %</t>
  </si>
  <si>
    <t>Resp. Técnico:</t>
  </si>
  <si>
    <t>Assinatura:</t>
  </si>
  <si>
    <t>Prefeito:</t>
  </si>
  <si>
    <t>data:</t>
  </si>
  <si>
    <t>___________________________</t>
  </si>
  <si>
    <t>__________________</t>
  </si>
  <si>
    <t>Convênio</t>
  </si>
  <si>
    <t>Repasse do Concedente</t>
  </si>
  <si>
    <t>nº</t>
  </si>
  <si>
    <t>COMPOSIÇÃO DOS RECURSOS (TESOURO E CONTRAPARTIDA)</t>
  </si>
  <si>
    <t>TESOURO</t>
  </si>
  <si>
    <t>Grandes 
Ítens  (%)</t>
  </si>
  <si>
    <t>Paranacidade
( R$ )</t>
  </si>
  <si>
    <t>Fornecimento de emulsão RR-1C - imprimação</t>
  </si>
  <si>
    <t>Fornecimento de emulsão EAI - imprimação</t>
  </si>
  <si>
    <t>Pintura de ligação com RR-1C - exclusive emulsão</t>
  </si>
  <si>
    <t>Fornecimento de emulsão RR-1C - pintura de ligaçãp</t>
  </si>
  <si>
    <t>Fornecimento de emulsão RL - lama asfáltica faixa 1</t>
  </si>
  <si>
    <t>Fornecimento de emulsão RL - lama asfáltica faixa 2</t>
  </si>
  <si>
    <t>Fornecimento de emulsão RL - lama asfáltica faixa 3</t>
  </si>
  <si>
    <t>Fornecimento de emulsão RL - lama asfáltica faixa 4</t>
  </si>
  <si>
    <t>Fornecimento de emulsão RR-2C - TSS</t>
  </si>
  <si>
    <t>Fornecimento de emulsão RR-2C - TSD com Capa Selante - Tipo I-1</t>
  </si>
  <si>
    <t>Fornecimento de emulsão RR-2C - TSD com Capa Selante - Tipo I-3</t>
  </si>
  <si>
    <t>Fornecimento de emulsão RR-2C - Trat.Sup.Tríplo ( TST ) Tipo I-4</t>
  </si>
  <si>
    <t>Fornecimento de emulsão RR-2C - Trat.Sup.Tríplo ( TST ) Tipo I-6</t>
  </si>
  <si>
    <t>Fornecimento de emulsão RR-2C - Macadame Betuminoso</t>
  </si>
  <si>
    <t>ENSAIOS TECNOLÓGICOS
(Os custos com mobilização e desmobilização de equipe e equipamentos para a extração de amostras para os ensaios tecnológicos, exceto da capa asfáltica, serão de responsabilidade da empresa executora da obra)</t>
  </si>
  <si>
    <t>ADMINISTRAÇÃO CENTRAL</t>
  </si>
  <si>
    <t>RISCOS</t>
  </si>
  <si>
    <t>SEGUROS E GRANTIAS</t>
  </si>
  <si>
    <t>DESPESAS FINANCEIRAS</t>
  </si>
  <si>
    <t>DIGITE</t>
  </si>
  <si>
    <t>3- Fórmula de cálculo do ISS</t>
  </si>
  <si>
    <t>Local da Obra:</t>
  </si>
  <si>
    <t>BDI - ACÓRDÃO Nº 2622/2013 – TCU
PAVIMENTAÇÃO</t>
  </si>
  <si>
    <t>ISS =</t>
  </si>
  <si>
    <t>PIS =</t>
  </si>
  <si>
    <t>COFINS =</t>
  </si>
  <si>
    <t>CPMF =</t>
  </si>
  <si>
    <t>TOTAL =</t>
  </si>
  <si>
    <t>TIPO DE SERVIÇO</t>
  </si>
  <si>
    <t>OBRAS</t>
  </si>
  <si>
    <t>MATERIAIS</t>
  </si>
  <si>
    <t>BDI (OBRA OU MATERIAIS/EQUIP.)</t>
  </si>
  <si>
    <t>BDI=(((((1+(C8+C9+C10)/100)*(1+C11/100)*(1+C12/100))/(1-C6/100))-1)*100)</t>
  </si>
  <si>
    <t>BDI (OBRA)</t>
  </si>
  <si>
    <t>BDI (MATERIAIS E EQUIPAMENTOS)</t>
  </si>
  <si>
    <t>VALORES DO BDI POR TIPO DE OBRA</t>
  </si>
  <si>
    <t>TIPOS DE OBRA</t>
  </si>
  <si>
    <t>1º Quartil</t>
  </si>
  <si>
    <t>Médio</t>
  </si>
  <si>
    <t>3º Quartil</t>
  </si>
  <si>
    <t>CONSTRUÇÃO DE EDIFÍCIOS</t>
  </si>
  <si>
    <t>CONSTRUÇÃO DE RODOVIAS E FERROVIAS</t>
  </si>
  <si>
    <t>CONSTRUÇÃO DE REDES DE ABASTECIMENTO DE ÁGUA, COLETA DE ESGOTO E CONSTRUÇÕES CORRELATAS</t>
  </si>
  <si>
    <t>CONSTRUÇÃO E MANUTENÇÃO DE ESTAÇÕES E REDES DE DISTRIBUIÇÃO DE ENERGIA ELÉTRICA</t>
  </si>
  <si>
    <t>OBRAS PORTUÁRIAS, MARÍTIMAS E FLUVIAIS</t>
  </si>
  <si>
    <t>BDI PARA ITENS DE MERO FORNECIMENTO DE
MATERIAIS E EQUIPAMENTOS</t>
  </si>
  <si>
    <t>RISCO</t>
  </si>
  <si>
    <t>SEGURO + GARANTIA</t>
  </si>
  <si>
    <t>DESPESA FINANCEIRA</t>
  </si>
  <si>
    <t>BDI PARA ITENS DE MERO FORNECIMENTO DE MATERIAIS E EQUIPAMENTOS</t>
  </si>
  <si>
    <t>PARCELA DO BDI</t>
  </si>
  <si>
    <t>PERCENTUAL DE ADMINISTRAÇÃO LOCAL INSERIDO NO CUSTO DIRETO*</t>
  </si>
  <si>
    <t>*Para verificação da adequabilidade das planilhas orçamentárias das obras públicas utilizar como referência do impacto esperado para os itens associados a administração local no valor total do orçamento, os seguintes valores percentuais abtidos no estudo de que tratam estes autos.</t>
  </si>
  <si>
    <t>GRANDES ITENS</t>
  </si>
  <si>
    <t>4- Valor do ISS calculado</t>
  </si>
  <si>
    <t>SERVÇOS DE URBANIZAÇÃO</t>
  </si>
  <si>
    <t>74209/1</t>
  </si>
  <si>
    <t>PLACA DE OBRA 4,00 X 2,00 M, EM CHAPA DE ACO GALVANIZADO, INCLUSIVE ARMAÇÃO EM MADEIRA E PONTALETES</t>
  </si>
  <si>
    <t>73916/2</t>
  </si>
  <si>
    <t>PLACA DE OBRA TIPO BANNER, 4,00 X 2,00 M, EM QUADRO DE METALON 20 X 20 MM E LONA 360 G, COM IMPRESSÃO DIGITAL, FIXADA EM ESTRUTURA DE MADEIRA.</t>
  </si>
  <si>
    <t>Quantidade 
Edital (50%)</t>
  </si>
  <si>
    <t>Paver ou Bloket  e=6cm - sem colchão</t>
  </si>
  <si>
    <t>Paver ou Bloket  Colorido e=6cm - sem colchão</t>
  </si>
  <si>
    <t>Paver ou Bloket  e=8cm - sem colchão</t>
  </si>
  <si>
    <t>Paver ou Bloket  Colorido e=8cm - sem colchão</t>
  </si>
  <si>
    <t>Paver ou Bloket e=10cm - sem colchão</t>
  </si>
  <si>
    <t>Paver ou Bloket  Colorido e=10cm - sem colchão</t>
  </si>
  <si>
    <t>Petit - Pavet - (PEDRA PORTUGUESA) - sem colchão</t>
  </si>
  <si>
    <t>Fornecimento de Emulsão RM-2C - Pré-Misturado a Frio (aberto) - DER</t>
  </si>
  <si>
    <t>Fornecimento de Emulsão RM-2C - Pré-Misturado a Frio (Semi-Denso) - DER</t>
  </si>
  <si>
    <r>
      <t>Pré-Misturado a Frio (Denso) - DER - (</t>
    </r>
    <r>
      <rPr>
        <b/>
        <sz val="10"/>
        <rFont val="Arial"/>
        <family val="2"/>
      </rPr>
      <t>CAPA</t>
    </r>
    <r>
      <rPr>
        <sz val="10"/>
        <rFont val="Arial"/>
        <family val="2"/>
      </rPr>
      <t>)</t>
    </r>
  </si>
  <si>
    <t>CBUQ "PMQ" (Quant menor que 10.000 ton)</t>
  </si>
  <si>
    <t>CBUQ "PMQ" (Quant maior que 10.000 ton)</t>
  </si>
  <si>
    <r>
      <rPr>
        <b/>
        <sz val="12"/>
        <rFont val="Arial"/>
        <family val="2"/>
      </rPr>
      <t>CBUQ - Reperfilamento</t>
    </r>
    <r>
      <rPr>
        <sz val="10"/>
        <rFont val="Arial"/>
        <family val="2"/>
      </rPr>
      <t xml:space="preserve"> (Quantidade menor que 10000 toneladas)</t>
    </r>
  </si>
  <si>
    <t>PAV-071</t>
  </si>
  <si>
    <t>Arrancamento de Meio-Fio</t>
  </si>
  <si>
    <t>PAV-077</t>
  </si>
  <si>
    <t>Arrancamento e reassentamento de Meio-Fio de Concreto com sarjeta</t>
  </si>
  <si>
    <t>Demolição de Concreto Armado (calçadas e outros)</t>
  </si>
  <si>
    <t>589420B</t>
  </si>
  <si>
    <t>560100C</t>
  </si>
  <si>
    <t>560400A</t>
  </si>
  <si>
    <t>589100A</t>
  </si>
  <si>
    <t>561100A</t>
  </si>
  <si>
    <t>589420C</t>
  </si>
  <si>
    <t>Fornecimento de emulsão RR-1C - pintura de ligação</t>
  </si>
  <si>
    <t>589320A</t>
  </si>
  <si>
    <t>589320B</t>
  </si>
  <si>
    <t>589320C</t>
  </si>
  <si>
    <t>589320D</t>
  </si>
  <si>
    <t>589320E</t>
  </si>
  <si>
    <r>
      <rPr>
        <b/>
        <sz val="12"/>
        <rFont val="Arial"/>
        <family val="2"/>
      </rPr>
      <t xml:space="preserve">CBUQ - PASSEIO  </t>
    </r>
    <r>
      <rPr>
        <sz val="10"/>
        <rFont val="Arial"/>
        <family val="2"/>
      </rPr>
      <t>(Quantidade menor que 10000 toneladas)</t>
    </r>
  </si>
  <si>
    <r>
      <rPr>
        <b/>
        <sz val="12"/>
        <rFont val="Arial"/>
        <family val="2"/>
      </rPr>
      <t xml:space="preserve">CBUQ - PASSEIO </t>
    </r>
    <r>
      <rPr>
        <sz val="10"/>
        <rFont val="Arial"/>
        <family val="2"/>
      </rPr>
      <t>(Quantidade maior que 10000 toneladas)</t>
    </r>
  </si>
  <si>
    <t>Plantio de Arbusto ou Cerca Viva</t>
  </si>
  <si>
    <t>Plantio de Árvore com altura até 2m</t>
  </si>
  <si>
    <t>Plantio de Árvore com altura de 2m a 4m</t>
  </si>
  <si>
    <t>Plantio de palmeira com altura até 2,00 m</t>
  </si>
  <si>
    <t>Plantio de forração</t>
  </si>
  <si>
    <t>TRANSFORMADOR DE DISTRIBUIÇÃO, 30 KVA, TRIFÁSICO, 60 HZ, CLASSE 15 KV, IMERSO EM ÓLEO MINERAL, INSTALAÇÃO EM POSTE (NÃO INCLUSO SUPORTE) - FORNECIMENTO E INSTALAÇÃO. AF_12/2020</t>
  </si>
  <si>
    <t>TRANSFORMADOR DE DISTRIBUIÇÃO, 45 KVA, TRIFÁSICO, 60 HZ, CLASSE 15 KV, IMERSO EM ÓLEO MINERAL, INSTALAÇÃO EM POSTE (NÃO INCLUSO SUPORTE) - FORNECIMENTO E INSTALAÇÃO. AF_12/2020</t>
  </si>
  <si>
    <t>TRANSFORMADOR DE DISTRIBUIÇÃO, 75 KVA, TRIFÁSICO, 60 HZ, CLASSE 15 KV, IMERSO EM ÓLEO MINERAL, INSTALAÇÃO EM POSTE (NÃO INCLUSO SUPORTE) - FORNECIMENTO E INSTALAÇÃO. AF_12/2020</t>
  </si>
  <si>
    <t>TRANSFORMADOR DE DISTRIBUIÇÃO, 112,5 KVA, TRIFÁSICO, 60 HZ, CLASSE 15 KV, IMERSO EM ÓLEO MINERAL, INSTALAÇÃO EM POSTE (NÃO INCLUSO SUPORTE) - FORNECIMENTO E INSTALAÇÃO. AF_12/2020</t>
  </si>
  <si>
    <t>TRANSFORMADOR DE DISTRIBUIÇÃO, 150 KVA, TRIFÁSICO, 60 HZ, CLASSE 15 KV, IMERSO EM ÓLEO MINERAL, INSTALAÇÃO EM POSTE (NÃO INCLUSO SUPORTE) - FORNECIMENTO E INSTALAÇÃO. AF_12/2020</t>
  </si>
  <si>
    <t>TRANSFORMADOR DE DISTRIBUIÇÃO, 225 KVA, TRIFÁSICO, 60 HZ, CLASSE 15 KV, IMERSO EM ÓLEO MINERAL, INSTALAÇÃO EM POSTE (NÃO INCLUSO SUPORTE) - FORNECIMENTO E INSTALAÇÃO. AF_12/2020</t>
  </si>
  <si>
    <t>TRANSFORMADOR DE DISTRIBUIÇÃO, 300 KVA, TRIFÁSICO, 60 HZ, CLASSE 15 KV, IMERSO EM ÓLEO MINERAL, INSTALAÇÃO EM POSTE (NÃO INCLUSO SUPORTE) - FORNECIMENTO E INSTALAÇÃO. AF_12/2020</t>
  </si>
  <si>
    <t>SUPORTE PARA TRANSFORMADOR EM POSTE DE CONCRETO CIRCULAR - FORNECIMENTO E INSTALAÇÃO. AF_12/2020</t>
  </si>
  <si>
    <t>SUPORTE PARA TRANSFORMADOR EM POSTE DE CONCRETO DUPLO T - FORNECIMENTO E INSTALAÇÃO. AF_12/2020</t>
  </si>
  <si>
    <t>POSTE DECORATIVO PARA JARDIM EM AÇO TUBULAR, H = *2,5* M, SEM LUMINÁRIA - FORNECIMENTO E INSTALAÇÃO. AF_11/2019</t>
  </si>
  <si>
    <t>POSTE DE AÇO CONICO CONTÍNUO CURVO SIMPLES, FLANGEADO, H=9M, INCLUSIVE LUMINÁRIA, SEM LÂMPADA - FORNECIMENTO E INSTALACAO. AF_11/2019</t>
  </si>
  <si>
    <t>POSTE DE AÇO CONICO CONTÍNUO CURVO DUPLO, FLANGEADO, H=9M, INCLUSIVE LUMINÁRIAS, SEM LÂMPADAS - FORNECIMENTO E INSTALACAO. AF_11/2019</t>
  </si>
  <si>
    <t>POSTE DE AÇO CONICO CONTÍNUO CURVO SIMPLES, ENGASTADO, H=9M, INCLUSIVE LUMINÁRIA, SEM LÂMPADA - FORNECIMENTO E INSTALACAO. AF_11/2019</t>
  </si>
  <si>
    <t>POSTE DE AÇO CONICO CONTÍNUO CURVO DUPLO, ENGASTADO, H=9M, INCLUSIVE LUMINÁRIAS, SEM LÂMPADAS - FORNECIMENTO E INSTALACAO. AF_11/2019</t>
  </si>
  <si>
    <t>ASSENTAMENTO DE POSTE DE CONCRETO COM COMPRIMENTO NOMINAL DE 9 M, CARGA NOMINAL MENOR OU IGUAL A 1000 DAN, ENGASTAMENTO SIMPLES COM 1,5 M DE SOLO (NÃO INCLUI FORNECIMENTO). AF_11/2019</t>
  </si>
  <si>
    <t>ASSENTAMENTO DE POSTE DE CONCRETO COM COMPRIMENTO NOMINAL DE 10 M, CARGA NOMINAL MENOR OU IGUAL A 1000 DAN, ENGASTAMENTO SIMPLES COM 1,6 M DE SOLO (NÃO INCLUI FORNECIMENTO). AF_11/2019</t>
  </si>
  <si>
    <t>ASSENTAMENTO DE POSTE DE CONCRETO COM COMPRIMENTO NOMINAL DE 10 M, CARGA NOMINAL MAIOR QUE 1000 DAN, ENGASTAMENTO SIMPLES COM 1,6 M DE SOLO (NÃO INCLUI FORNECIMENTO). AF_11/2019</t>
  </si>
  <si>
    <t>ASSENTAMENTO DE POSTE DE CONCRETO COM COMPRIMENTO NOMINAL DE 10,5 M, CARGA NOMINAL MENOR OU IGUAL A 1000 DAN, ENGASTAMENTO SIMPLES COM 1,65 M DE SOLO (NÃO INCLUI FORNECIMENTO). AF_11/2019</t>
  </si>
  <si>
    <t>ASSENTAMENTO DE POSTE DE CONCRETO COM COMPRIMENTO NOMINAL DE 10,5 M, CARGA NOMINAL MAIOR QUE 1000 DAN, ENGASTAMENTO SIMPLES COM 1,65 M DE SOLO (NÃO INCLUI FORNECIMENTO). AF_11/2019</t>
  </si>
  <si>
    <t>ASSENTAMENTO DE POSTE DE CONCRETO COM COMPRIMENTO NOMINAL DE 11 M, CARGA NOMINAL MENOR OU IGUAL A 1000 DAN, ENGASTAMENTO SIMPLES COM 1,7 M DE SOLO (NÃO INCLUI FORNECIMENTO). AF_11/2019</t>
  </si>
  <si>
    <t>ASSENTAMENTO DE POSTE DE CONCRETO COM COMPRIMENTO NOMINAL DE 11 M, CARGA NOMINAL MAIOR QUE 1000 DAN, ENGASTAMENTO SIMPLES COM 1,7 M DE SOLO (NÃO INCLUI FORNECIMENTO). AF_11/2019</t>
  </si>
  <si>
    <t>ASSENTAMENTO DE POSTE DE CONCRETO COM COMPRIMENTO NOMINAL DE 12 M, CARGA NOMINAL MENOR OU IGUAL A 1000 DAN, ENGASTAMENTO SIMPLES COM 1,8 M DE SOLO (NÃO INCLUI FORNECIMENTO). AF_11/2019</t>
  </si>
  <si>
    <t>ASSENTAMENTO DE POSTE DE CONCRETO COM COMPRIMENTO NOMINAL DE 12 M, CARGA NOMINAL MAIOR QUE 1000 DAN, ENGASTAMENTO SIMPLES COM 1,8 M DE SOLO (NÃO INCLUI FORNECIMENTO). AF_11/2019</t>
  </si>
  <si>
    <t>ASSENTAMENTO DE POSTE DE CONCRETO COM COMPRIMENTO NOMINAL DE 13 M, CARGA NOMINAL MENOR OU IGUAL A 1000 DAN, ENGASTAMENTO SIMPLES COM 1,9 M DE SOLO (NÃO INCLUI FORNECIMENTO). AF_11/2019</t>
  </si>
  <si>
    <t>ASSENTAMENTO DE POSTE DE CONCRETO COM COMPRIMENTO NOMINAL DE 13 M, CARGA NOMINAL MAIOR QUE 1000 DAN, ENGASTAMENTO SIMPLES COM 1,9 M DE SOLO (NÃO INCLUI FORNECIMENTO). AF_11/2019</t>
  </si>
  <si>
    <t>ASSENTAMENTO DE POSTE DE CONCRETO COM COMPRIMENTO NOMINAL DE 13,5 M, CARGA NOMINAL MENOR OU IGUAL A 1000 DAN, ENGASTAMENTO SIMPLES COM 1,95 M DE SOLO (NÃO INCLUI FORNECIMENTO). AF_11/2019</t>
  </si>
  <si>
    <t>ASSENTAMENTO DE POSTE DE CONCRETO COM COMPRIMENTO NOMINAL DE 13,5 M, CARGA NOMINAL MAIOR QUE 1000 DAN, ENGASTAMENTO SIMPLES COM 1,95 M DE SOLO (NÃO INCLUI FORNECIMENTO). AF_11/2019</t>
  </si>
  <si>
    <t>ASSENTAMENTO DE POSTE DE CONCRETO COM COMPRIMENTO NOMINAL DE 14 M, CARGA NOMINAL MENOR OU IGUAL A 1000 DAN, ENGASTAMENTO SIMPLES COM 2 M DE SOLO (NÃO INCLUI FORNECIMENTO). AF_11/2019</t>
  </si>
  <si>
    <t>ASSENTAMENTO DE POSTE DE CONCRETO COM COMPRIMENTO NOMINAL DE 14 M, CARGA NOMINAL MAIOR QUE 1000 DAN, ENGASTAMENTO SIMPLES COM 2 M DE SOLO (NÃO INCLUI FORNECIMENTO). AF_11/2019</t>
  </si>
  <si>
    <t>ASSENTAMENTO DE POSTE DE CONCRETO COM COMPRIMENTO NOMINAL DE 15 M, CARGA NOMINAL MENOR OU IGUAL A 1000 DAN, ENGASTAMENTO SIMPLES COM 2,1 M DE SOLO (NÃO INCLUI FORNECIMENTO). AF_11/2019</t>
  </si>
  <si>
    <t>ASSENTAMENTO DE POSTE DE CONCRETO COM COMPRIMENTO NOMINAL DE 15 M, CARGA NOMINAL MAIOR QUE 1000 DAN, ENGASTAMENTO SIMPLES COM 2,1 M DE SOLO (NÃO INCLUI FORNECIMENTO). AF_11/2019</t>
  </si>
  <si>
    <t>ASSENTAMENTO DE POSTE DE CONCRETO COM COMPRIMENTO NOMINAL DE 18 M, CARGA NOMINAL MENOR OU IGUAL A 1000 DAN, ENGASTAMENTO SIMPLES COM 2,4 M DE SOLO (NÃO INCLUI FORNECIMENTO). AF_11/2019</t>
  </si>
  <si>
    <t>ASSENTAMENTO DE POSTE DE CONCRETO COM COMPRIMENTO NOMINAL DE 18 M, CARGA NOMINAL MAIOR QUE 1000 DAN, ENGASTAMENTO SIMPLES COM 2,4 M DE SOLO (NÃO INCLUI FORNECIMENTO). AF_11/2019</t>
  </si>
  <si>
    <t>ASSENTAMENTO DE POSTE DE CONCRETO COM COMPRIMENTO NOMINAL DE 20 M, CARGA NOMINAL MENOR OU IGUAL A 1000 DAN, ENGASTAMENTO SIMPLES COM 2,6 M DE SOLO (NÃO INCLUI FORNECIMENTO). AF_11/2019</t>
  </si>
  <si>
    <t>ASSENTAMENTO DE POSTE DE CONCRETO COM COMPRIMENTO NOMINAL DE 20 M, CARGA NOMINAL MAIOR QUE 1000, ENGASTAMENTO SIMPLES COM 2,6 M DE SOLO (NÃO INCLUI FORNECIMENTO). AF_11/2019</t>
  </si>
  <si>
    <t>ASSENTAMENTO DE POSTE DE CONCRETO COM COMPRIMENTO NOMINAL DE 9 M, CARGA NOMINAL DE 150 DAN, ENGASTAMENTO BASE CONCRETADA COM 1 M DE CONCRETO E 0,5 M DE SOLO (NÃO INCLUI FORNECIMENTO). AF_11/2019</t>
  </si>
  <si>
    <t>ASSENTAMENTO DE POSTE DE CONCRETO COM COMPRIMENTO NOMINAL DE 9 M, CARGA NOMINAL DE 300 DAN, ENGASTAMENTO BASE CONCRETADA COM 1 M DE CONCRETO E 0,5 M DE SOLO (NÃO INCLUI FORNECIMENTO). AF_11/2019</t>
  </si>
  <si>
    <t>ASSENTAMENTO DE POSTE DE CONCRETO COM COMPRIMENTO NOMINAL DE 9 M, CARGA NOMINAL DE 400 DAN, ENGASTAMENTO BASE CONCRETADA COM 1 M DE CONCRETO E 0,5 M DE SOLO (NÃO INCLUI FORNECIMENTO). AF_11/2019</t>
  </si>
  <si>
    <t>ASSENTAMENTO DE POSTE DE CONCRETO COM COMPRIMENTO NOMINAL DE 9 M, CARGA NOMINAL DE 600 DAN, ENGASTAMENTO BASE CONCRETADA COM 1 M DE CONCRETO E 0,5 M DE SOLO (NÃO INCLUI FORNECIMENTO). AF_11/2019</t>
  </si>
  <si>
    <t>ASSENTAMENTO DE POSTE DE CONCRETO COM COMPRIMENTO NOMINAL DE 9 M, CARGA NOMINAL DE 1000 DAN, ENGASTAMENTO BASE CONCRETADA COM 1 M DE CONCRETO E 0,5 M DE SOLO (NÃO INCLUI FORNECIMENTO). AF_11/2019</t>
  </si>
  <si>
    <t>ASSENTAMENTO DE POSTE DE CONCRETO COM COMPRIMENTO NOMINAL DE 10 M, CARGA NOMINAL DE 300 DAN, ENGASTAMENTO BASE CONCRETADA COM 1 M DE CONCRETO E 0,6 M DE SOLO (NÃO INCLUI FORNECIMENTO). AF_11/2019</t>
  </si>
  <si>
    <t>ASSENTAMENTO DE POSTE DE CONCRETO COM COMPRIMENTO NOMINAL DE 10 M, CARGA NOMINAL DE 600 DAN, ENGASTAMENTO BASE CONCRETADA COM 1 M DE CONCRETO E 0,6 M DE SOLO (NÃO INCLUI FORNECIMENTO). AF_11/2019</t>
  </si>
  <si>
    <t>ASSENTAMENTO DE POSTE DE CONCRETO COM COMPRIMENTO NOMINAL DE 10 M, CARGA NOMINAL DE 1000 DAN, ENGASTAMENTO BASE CONCRETADA COM 1 M DE CONCRETO E 0,6 M DE SOLO (NÃO INCLUI FORNECIMENTO). AF_11/2019</t>
  </si>
  <si>
    <t>ASSENTAMENTO DE POSTE DE CONCRETO COM COMPRIMENTO NOMINAL DE 10,5 M, CARGA NOMINAL DE 300 DAN, ENGASTAMENTO BASE CONCRETADA COM 1 M DE CONCRETO E 0,65 M DE SOLO (NÃO INCLUI FORNECIMENTO). AF_11/2019</t>
  </si>
  <si>
    <t>ASSENTAMENTO DE POSTE DE CONCRETO COM COMPRIMENTO NOMINAL DE 10,5 M, CARGA NOMINAL DE 600 DAN, ENGASTAMENTO BASE CONCRETADA COM 1 M DE CONCRETO E 0,65 M DE SOLO (NÃO INCLUI FORNECIMENTO). AF_11/2019</t>
  </si>
  <si>
    <t>ASSENTAMENTO DE POSTE DE CONCRETO COM COMPRIMENTO NOMINAL DE 10,5 M, CARGA NOMINAL DE 1000 DAN, ENGASTAMENTO BASE CONCRETADA COM 1 M DE CONCRETO E 0,65 M DE SOLO (NÃO INCLUI FORNECIMENTO). AF_11/2019</t>
  </si>
  <si>
    <t>ASSENTAMENTO DE POSTE DE CONCRETO COM COMPRIMENTO NOMINAL DE 11 M, CARGA NOMINAL DE 300 DAN, ENGASTAMENTO BASE CONCRETADA COM 1 M DE CONCRETO E 0,7 M DE SOLO (NÃO INCLUI FORNECIMENTO). AF_11/2019</t>
  </si>
  <si>
    <t>ASSENTAMENTO DE POSTE DE CONCRETO COM COMPRIMENTO NOMINAL DE 11 M, CARGA NOMINAL DE 400 DAN, ENGASTAMENTO BASE CONCRETADA COM 1 M DE CONCRETO E 0,7 M DE SOLO (NÃO INCLUI FORNECIMENTO). AF_11/2019</t>
  </si>
  <si>
    <t>ASSENTAMENTO DE POSTE DE CONCRETO COM COMPRIMENTO NOMINAL DE 11 M, CARGA NOMINAL DE 600 DAN, ENGASTAMENTO BASE CONCRETADA COM 1 M DE CONCRETO E 0,7 M DE SOLO (NÃO INCLUI FORNECIMENTO). AF_11/2019</t>
  </si>
  <si>
    <t>ASSENTAMENTO DE POSTE DE CONCRETO COM COMPRIMENTO NOMINAL DE 11 M, CARGA NOMINAL DE 1000 DAN, ENGASTAMENTO BASE CONCRETADA COM 1 M DE CONCRETO E 0,7 M DE SOLO (NÃO INCLUI FORNECIMENTO). AF_11/2019</t>
  </si>
  <si>
    <t>ASSENTAMENTO DE POSTE DE CONCRETO COM COMPRIMENTO NOMINAL DE 12 M, CARGA NOMINAL DE 400 DAN, ENGASTAMENTO BASE CONCRETADA COM 1 M DE CONCRETO E 0,8 M DE SOLO (NÃO INCLUI FORNECIMENTO). AF_11/2019</t>
  </si>
  <si>
    <t>ASSENTAMENTO DE POSTE DE CONCRETO COM COMPRIMENTO NOMINAL DE 12 M, CARGA NOMINAL DE 600 DAN, ENGASTAMENTO BASE CONCRETADA COM 1 M DE CONCRETO E 0,8 M DE SOLO (NÃO INCLUI FORNECIMENTO). AF_11/2019</t>
  </si>
  <si>
    <t>ASSENTAMENTO DE POSTE DE CONCRETO COM COMPRIMENTO NOMINAL DE 12 M, CARGA NOMINAL DE 1000 DAN, ENGASTAMENTO BASE CONCRETADA COM 1 M DE CONCRETO E 0,8 M DE SOLO (NÃO INCLUI FORNECIMENTO). AF_11/2019</t>
  </si>
  <si>
    <t>ASSENTAMENTO DE POSTE DE CONCRETO COM COMPRIMENTO NOMINAL DE 13 M, CARGA NOMINAL DE 600 DAN, ENGASTAMENTO BASE CONCRETADA COM 1 M DE CONCRETO E 0,9 M DE SOLO (NÃO INCLUI FORNECIMENTO). AF_11/2019</t>
  </si>
  <si>
    <t>ASSENTAMENTO DE POSTE DE CONCRETO COM COMPRIMENTO NOMINAL DE 13 M, CARGA NOMINAL DE 1000 DAN, ENGASTAMENTO BASE CONCRETADA COM 1 M DE CONCRETO E 0,9 M DE SOLO - SOMENTE INSTALAÇÃO, SEM FORNECIMENTO. AF_11/2019</t>
  </si>
  <si>
    <t>REMOÇÃO DE INTERRUPTORES/TOMADAS ELÉTRICAS, DE FORMA MANUAL, SEM REAPROVEITAMENTO. AF_12/2017</t>
  </si>
  <si>
    <t>RASGO EM ALVENARIA PARA ELETRODUTOS COM DIAMETROS MENORES OU IGUAIS A 40 MM. AF_05/2015</t>
  </si>
  <si>
    <t>QUEBRA EM ALVENARIA PARA INSTALAÇÃO DE CAIXA DE TOMADA (4X4 OU 4X2). AF_05/2015</t>
  </si>
  <si>
    <t>QUEBRA EM ALVENARIA PARA INSTALAÇÃO DE QUADRO DISTRIBUIÇÃO PEQUENO (19X25 CM). AF_05/2015</t>
  </si>
  <si>
    <t>QUEBRA EM ALVENARIA PARA INSTALAÇÃO DE QUADRO DISTRIBUIÇÃO GRANDE (76X40 CM). AF_05/2015</t>
  </si>
  <si>
    <t>CAIXA DE PROTEÇÃO PARA MEDIDOR MONOFÁSICO DE EMBUTIR - FORNECIMENTO E INSTALAÇÃO. AF_10/2020</t>
  </si>
  <si>
    <t>ENTRADA DE ENERGIA ELÉTRICA, AÉREA, MONOFÁSICA, COM CAIXA DE SOBREPOR, CABO DE 10 MM2 E DISJUNTOR DIN 50A (NÃO INCLUSO O POSTE DE CONCRETO). AF_07/2020_P</t>
  </si>
  <si>
    <t>ENTRADA DE ENERGIA ELÉTRICA, AÉREA, MONOFÁSICA, COM CAIXA DE SOBREPOR, CABO DE 16 MM2 E DISJUNTOR DIN 50A (NÃO INCLUSO O POSTE DE CONCRETO). AF_07/2020_P</t>
  </si>
  <si>
    <t>ENTRADA DE ENERGIA ELÉTRICA, AÉREA, MONOFÁSICA, COM CAIXA DE SOBREPOR, CABO DE 25 MM2 E DISJUNTOR DIN 50A (NÃO INCLUSO O POSTE DE CONCRETO). AF_07/2020_P</t>
  </si>
  <si>
    <t>ENTRADA DE ENERGIA ELÉTRICA, AÉREA, MONOFÁSICA, COM CAIXA DE SOBREPOR, CABO DE 35 MM2 E DISJUNTOR DIN 50A (NÃO INCLUSO O POSTE DE CONCRETO). AF_07/2020_P</t>
  </si>
  <si>
    <t>ENTRADA DE ENERGIA ELÉTRICA, AÉREA, MONOFÁSICA, COM CAIXA DE EMBUTIR, CABO DE 10 MM2 E DISJUNTOR DIN 50A (NÃO INCLUSO O POSTE DE CONCRETO). AF_07/2020_P</t>
  </si>
  <si>
    <t>ENTRADA DE ENERGIA ELÉTRICA, AÉREA, MONOFÁSICA, COM CAIXA DE EMBUTIR, CABO DE 16 MM2 E DISJUNTOR DIN 50A (NÃO INCLUSO O POSTE DE CONCRETO). AF_07/2020_P</t>
  </si>
  <si>
    <t>ENTRADA DE ENERGIA ELÉTRICA, AÉREA, MONOFÁSICA, COM CAIXA DE EMBUTIR, CABO DE 25 MM2 E DISJUNTOR DIN 50A (NÃO INCLUSO O POSTE DE CONCRETO). AF_07/2020_P</t>
  </si>
  <si>
    <t>ENTRADA DE ENERGIA ELÉTRICA, AÉREA, MONOFÁSICA, COM CAIXA DE EMBUTIR, CABO DE 35 MM2 E DISJUNTOR DIN 50A (NÃO INCLUSO O POSTE DE CONCRETO). AF_07/2020_P</t>
  </si>
  <si>
    <t>ENTRADA DE ENERGIA ELÉTRICA, AÉREA, BIFÁSICA, COM CAIXA DE SOBREPOR, CABO DE 10 MM2 E DISJUNTOR DIN 50A (NÃO INCLUSO O POSTE DE CONCRETO). AF_07/2020_P</t>
  </si>
  <si>
    <t>ENTRADA DE ENERGIA ELÉTRICA, AÉREA, BIFÁSICA, COM CAIXA DE SOBREPOR, CABO DE 16 MM2 E DISJUNTOR DIN 50A (NÃO INCLUSO O POSTE DE CONCRETO). AF_07/2020_P</t>
  </si>
  <si>
    <t>ENTRADA DE ENERGIA ELÉTRICA, AÉREA, BIFÁSICA, COM CAIXA DE SOBREPOR, CABO DE 25 MM2 E DISJUNTOR DIN 50A (NÃO INCLUSO O POSTE DE CONCRETO). AF_07/2020_P</t>
  </si>
  <si>
    <t>ENTRADA DE ENERGIA ELÉTRICA, AÉREA, BIFÁSICA, COM CAIXA DE SOBREPOR, CABO DE 35 MM2 E DISJUNTOR DIN 50A (NÃO INCLUSO O POSTE DE CONCRETO). AF_07/2020_P</t>
  </si>
  <si>
    <t>ENTRADA DE ENERGIA ELÉTRICA, AÉREA, BIFÁSICA, COM CAIXA DE EMBUTIR, CABO DE 10 MM2 E DISJUNTOR DIN 50A (NÃO INCLUSO O POSTE DE CONCRETO). AF_07/2020_P</t>
  </si>
  <si>
    <t>ENTRADA DE ENERGIA ELÉTRICA, AÉREA, BIFÁSICA, COM CAIXA DE EMBUTIR, CABO DE 16 MM2 E DISJUNTOR DIN 50A (NÃO INCLUSO O POSTE DE CONCRETO). AF_07/2020_P</t>
  </si>
  <si>
    <t>ENTRADA DE ENERGIA ELÉTRICA, AÉREA, BIFÁSICA, COM CAIXA DE EMBUTIR, CABO DE 25 MM2 E DISJUNTOR DIN 50A (NÃO INCLUSO O POSTE DE CONCRETO). AF_07/2020_P</t>
  </si>
  <si>
    <t>ENTRADA DE ENERGIA ELÉTRICA, AÉREA, BIFÁSICA, COM CAIXA DE EMBUTIR, CABO DE 35 MM2 E DISJUNTOR DIN 50A (NÃO INCLUSO O POSTE DE CONCRETO). AF_07/2020_P</t>
  </si>
  <si>
    <t>ENTRADA DE ENERGIA ELÉTRICA, AÉREA, TRIFÁSICA, COM CAIXA DE SOBREPOR, CABO DE 10 MM2 E DISJUNTOR DIN 50A (NÃO INCLUSO O POSTE DE CONCRETO). AF_07/2020_P</t>
  </si>
  <si>
    <t>ENTRADA DE ENERGIA ELÉTRICA, AÉREA, TRIFÁSICA, COM CAIXA DE SOBREPOR, CABO DE 16 MM2 E DISJUNTOR DIN 50A (NÃO INCLUSO O POSTE DE CONCRETO). AF_07/2020_P</t>
  </si>
  <si>
    <t>ENTRADA DE ENERGIA ELÉTRICA, AÉREA, TRIFÁSICA, COM CAIXA DE SOBREPOR, CABO DE 25 MM2 E DISJUNTOR DIN 50A (NÃO INCLUSO O POSTE DE CONCRETO). AF_07/2020_P</t>
  </si>
  <si>
    <t>ENTRADA DE ENERGIA ELÉTRICA, AÉREA, TRIFÁSICA, COM CAIXA DE SOBREPOR, CABO DE 35 MM2 E DISJUNTOR DIN 50A (NÃO INCLUSO O POSTE DE CONCRETO). AF_07/2020_P</t>
  </si>
  <si>
    <t>ENTRADA DE ENERGIA ELÉTRICA, AÉREA, TRIFÁSICA, COM CAIXA DE EMBUTIR, CABO DE 10 MM2 E DISJUNTOR DIN 50A (NÃO INCLUSO O POSTE DE CONCRETO). AF_07/2020</t>
  </si>
  <si>
    <t>ENTRADA DE ENERGIA ELÉTRICA, AÉREA, TRIFÁSICA, COM CAIXA DE EMBUTIR, CABO DE 16 MM2 E DISJUNTOR DIN 50A (NÃO INCLUSO O POSTE DE CONCRETO). AF_07/2020</t>
  </si>
  <si>
    <t>ENTRADA DE ENERGIA ELÉTRICA, AÉREA, TRIFÁSICA, COM CAIXA DE EMBUTIR, CABO DE 25 MM2 E DISJUNTOR DIN 50A (NÃO INCLUSO O POSTE DE CONCRETO). AF_07/2020</t>
  </si>
  <si>
    <t>ENTRADA DE ENERGIA ELÉTRICA, AÉREA, TRIFÁSICA, COM CAIXA DE EMBUTIR, CABO DE 35 MM2 E DISJUNTOR DIN 50A (NÃO INCLUSO O POSTE DE CONCRETO). AF_07/2020</t>
  </si>
  <si>
    <t>ENTRADA DE ENERGIA ELÉTRICA, SUBTERRÂNEA, MONOFÁSICA, COM CAIXA DE SOBREPOR, CABO DE 10 MM2 E DISJUNTOR DIN 50A (NÃO INCLUSA MURETA DE ALVENARIA). AF_07/2020_P</t>
  </si>
  <si>
    <t>ENTRADA DE ENERGIA ELÉTRICA, SUBTERRÂNEA, MONOFÁSICA, COM CAIXA DE SOBREPOR, CABO DE 16 MM2 E DISJUNTOR DIN 50A (NÃO INCLUSA MURETA DE ALVENARIA). AF_07/2020_P</t>
  </si>
  <si>
    <t>ENTRADA DE ENERGIA ELÉTRICA, SUBTERRÂNEA, MONOFÁSICA, COM CAIXA DE SOBREPOR, CABO DE 25 MM2 E DISJUNTOR DIN 50A (NÃO INCLUSA MURETA DE ALVENARIA). AF_07/2020_P</t>
  </si>
  <si>
    <t>ENTRADA DE ENERGIA ELÉTRICA, SUBTERRÂNEA, MONOFÁSICA, COM CAIXA DE SOBREPOR, CABO DE 35 MM2 E DISJUNTOR DIN 50A (NÃO INCLUSA MURETA DE ALVENARIA). AF_07/2020_P</t>
  </si>
  <si>
    <t>ENTRADA DE ENERGIA ELÉTRICA, SUBTERRÂNEA, MONOFÁSICA, COM CAIXA DE EMBUTIR, CABO DE 10 MM2 E DISJUNTOR DIN 50A (NÃO INCLUSA MURETA DE ALVENARIA). AF_07/2020_P</t>
  </si>
  <si>
    <t>ENTRADA DE ENERGIA ELÉTRICA, SUBTERRÂNEA, MONOFÁSICA, COM CAIXA DE EMBUTIR, CABO DE 16 MM2 E DISJUNTOR DIN 50A (NÃO INCLUSA MURETA DE ALVENARIA). AF_07/2020_P</t>
  </si>
  <si>
    <t>ENTRADA DE ENERGIA ELÉTRICA, SUBTERRÂNEA, MONOFÁSICA, COM CAIXA DE EMBUTIR, CABO DE 25 MM2 E DISJUNTOR DIN 50A (NÃO INCLUSA MURETA DE ALVENARIA). AF_07/2020_P</t>
  </si>
  <si>
    <t>ENTRADA DE ENERGIA ELÉTRICA, SUBTERRÂNEA, MONOFÁSICA, COM CAIXA DE EMBUTIR, CABO DE 35 MM2 E DISJUNTOR DIN 50A (NÃO INCLUSA MURETA DE ALVENARIA). AF_07/2020_P</t>
  </si>
  <si>
    <t>ENTRADA DE ENERGIA ELÉTRICA, SUBTERRÂNEA, BIFÁSICA, COM CAIXA DE SOBREPOR, CABO DE 10 MM2 E DISJUNTOR DIN 50A (NÃO INCLUSA MURETA DE ALVENARIA). AF_07/2020_P</t>
  </si>
  <si>
    <t>ENTRADA DE ENERGIA ELÉTRICA, SUBTERRÂNEA, BIFÁSICA, COM CAIXA DE SOBREPOR, CABO DE 16 MM2 E DISJUNTOR DIN 50A (NÃO INCLUSA MURETA DE ALVENARIA). AF_07/2020_P</t>
  </si>
  <si>
    <t>ENTRADA DE ENERGIA ELÉTRICA, SUBTERRÂNEA, BIFÁSICA, COM CAIXA DE SOBREPOR, CABO DE 25 MM2 E DISJUNTOR DIN 50A (NÃO INCLUSA MURETA DE ALVENARIA). AF_07/2020_P</t>
  </si>
  <si>
    <t>ENTRADA DE ENERGIA ELÉTRICA, SUBTERRÂNEA, BIFÁSICA, COM CAIXA DE SOBREPOR, CABO DE 35 MM2 E DISJUNTOR DIN 50A (NÃO INCLUSA MURETA DE ALVENARIA). AF_07/2020_P</t>
  </si>
  <si>
    <t>ENTRADA DE ENERGIA ELÉTRICA, SUBTERRÂNEA, BIFÁSICA, COM CAIXA DE EMBUTIR, CABO DE 10 MM2 E DISJUNTOR DIN 50A (NÃO INCLUSA MURETA DE ALVENARIA). AF_07/2020_P</t>
  </si>
  <si>
    <t>ENTRADA DE ENERGIA ELÉTRICA, SUBTERRÂNEA, BIFÁSICA, COM CAIXA DE EMBUTIR, CABO DE 16 MM2 E DISJUNTOR DIN 50A (NÃO INCLUSA MURETA DE ALVENARIA). AF_07/2020_P</t>
  </si>
  <si>
    <t>ENTRADA DE ENERGIA ELÉTRICA, SUBTERRÂNEA, BIFÁSICA, COM CAIXA DE EMBUTIR, CABO DE 25 MM2 E DISJUNTOR DIN 50A (NÃO INCLUSA MURETA DE ALVENARIA). AF_07/2020_P</t>
  </si>
  <si>
    <t>ENTRADA DE ENERGIA ELÉTRICA, SUBTERRÂNEA, BIFÁSICA, COM CAIXA DE EMBUTIR, CABO DE 35 MM2 E DISJUNTOR DIN 50A (NÃO INCLUSA MURETA DE ALVENARIA). AF_07/2020_P</t>
  </si>
  <si>
    <t>ENTRADA DE ENERGIA ELÉTRICA, SUBTERRÂNEA, TRIFÁSICA, COM CAIXA DE SOBREPOR, CABO DE 10 MM2 E DISJUNTOR DIN 50A (NÃO INCLUSA MURETA DE ALVENARIA). AF_07/2020_P</t>
  </si>
  <si>
    <t>ENTRADA DE ENERGIA ELÉTRICA, SUBTERRÂNEA, TRIFÁSICA, COM CAIXA DE SOBREPOR, CABO DE 16 MM2 E DISJUNTOR DIN 50A (NÃO INCLUSA MURETA DE ALVENARIA). AF_07/2020_P</t>
  </si>
  <si>
    <t>ENTRADA DE ENERGIA ELÉTRICA, SUBTERRÂNEA, TRIFÁSICA, COM CAIXA DE SOBREPOR, CABO DE 25 MM2 E DISJUNTOR DIN 50A (NÃO INCLUSA MURETA DE ALVENARIA). AF_07/2020_P</t>
  </si>
  <si>
    <t>ENTRADA DE ENERGIA ELÉTRICA, SUBTERRÂNEA, TRIFÁSICA, COM CAIXA DE SOBREPOR, CABO DE 35 MM2 E DISJUNTOR DIN 50A (NÃO INCLUSA MURETA DE ALVENARIA). AF_07/2020_P</t>
  </si>
  <si>
    <t>ENTRADA DE ENERGIA ELÉTRICA, SUBTERRÂNEA, TRIFÁSICA, COM CAIXA DE EMBUTIR, CABO DE 10 MM2 E DISJUNTOR DIN 50A (NÃO INCLUSA MURETA DE ALVENARIA). AF_07/2020</t>
  </si>
  <si>
    <t>ENTRADA DE ENERGIA ELÉTRICA, SUBTERRÂNEA, TRIFÁSICA, COM CAIXA DE EMBUTIR, CABO DE 16 MM2 E DISJUNTOR DIN 50A (NÃO INCLUSA MURETA DE ALVENARIA). AF_07/2020</t>
  </si>
  <si>
    <t>ENTRADA DE ENERGIA ELÉTRICA, SUBTERRÂNEA, TRIFÁSICA, COM CAIXA DE EMBUTIR, CABO DE 25 MM2 E DISJUNTOR DIN 50A (NÃO INCLUSA MURETA DE ALVENARIA). AF_07/2020</t>
  </si>
  <si>
    <t>ENTRADA DE ENERGIA ELÉTRICA, SUBTERRÂNEA, TRIFÁSICA, COM CAIXA DE EMBUTIR, CABO DE 35 MM2 E DISJUNTOR DIN 50A (NÃO INCLUSA MURETA DE ALVENARIA). AF_07/2020</t>
  </si>
  <si>
    <t>16.105.000030.SER</t>
  </si>
  <si>
    <t>PINI 02/2021</t>
  </si>
  <si>
    <t>16.105.000031.SER</t>
  </si>
  <si>
    <t>16.105.000032.SER</t>
  </si>
  <si>
    <t>16.105.000033.SER</t>
  </si>
  <si>
    <t>Entrada de energia em poste próprio da edificação com potência instalada de 15 a 20 KW</t>
  </si>
  <si>
    <t>16.105.000034.SER</t>
  </si>
  <si>
    <t>Entrada de energia em poste próprio da edificação com potência instalada de 20 a 25 KW</t>
  </si>
  <si>
    <t>16.105.000035.SER</t>
  </si>
  <si>
    <t>Entrada de energia em poste próprio da edificação com potência instalada de 25 a 30 KW</t>
  </si>
  <si>
    <t>ELETRODUTO PVC 40MM (1 ¼ ) PARA SPDA - FORNECIMENTO E INSTALAÇÃO. AF_12/2017</t>
  </si>
  <si>
    <t>ELETRODUTO FLEXÍVEL CORRUGADO, PVC, DN 20 MM (1/2"), PARA CIRCUITOS TERMINAIS, INSTALADO EM FORRO - FORNECIMENTO E INSTALAÇÃO. AF_12/2015</t>
  </si>
  <si>
    <t>ELETRODUTO FLEXÍVEL CORRUGADO, PVC, DN 25 MM (3/4"), PARA CIRCUITOS TERMINAIS, INSTALADO EM FORRO - FORNECIMENTO E INSTALAÇÃO. AF_12/2015</t>
  </si>
  <si>
    <t>ELETRODUTO FLEXÍVEL CORRUGADO, PVC, DN 32 MM (1"), PARA CIRCUITOS TERMINAIS, INSTALADO EM FORRO - FORNECIMENTO E INSTALAÇÃO. AF_12/2015</t>
  </si>
  <si>
    <t>ELETRODUTO FLEXÍVEL CORRUGADO, PVC, DN 20 MM (1/2"), PARA CIRCUITOS TERMINAIS, INSTALADO EM LAJE - FORNECIMENTO E INSTALAÇÃO. AF_12/2015</t>
  </si>
  <si>
    <t>ELETRODUTO FLEXÍVEL CORRUGADO, PVC, DN 25 MM (3/4"), PARA CIRCUITOS TERMINAIS, INSTALADO EM LAJE - FORNECIMENTO E INSTALAÇÃO. AF_12/2015</t>
  </si>
  <si>
    <t>ELETRODUTO FLEXÍVEL CORRUGADO, PVC, DN 32 MM (1"), PARA CIRCUITOS TERMINAIS, INSTALADO EM LAJE - FORNECIMENTO E INSTALAÇÃO. AF_12/2015</t>
  </si>
  <si>
    <t>ELETRODUTO FLEXÍVEL CORRUGADO, PVC, DN 20 MM (1/2"), PARA CIRCUITOS TERMINAIS, INSTALADO EM PAREDE - FORNECIMENTO E INSTALAÇÃO. AF_12/2015</t>
  </si>
  <si>
    <t>ELETRODUTO FLEXÍVEL CORRUGADO, PVC, DN 25 MM (3/4"), PARA CIRCUITOS TERMINAIS, INSTALADO EM PAREDE - FORNECIMENTO E INSTALAÇÃO. AF_12/2015</t>
  </si>
  <si>
    <t>ELETRODUTO FLEXÍVEL CORRUGADO, PVC, DN 32 MM (1"), PARA CIRCUITOS TERMINAIS, INSTALADO EM PAREDE - FORNECIMENTO E INSTALAÇÃO. AF_12/2015</t>
  </si>
  <si>
    <t>ELETRODUTO FLEXÍVEL CORRUGADO REFORÇADO, PVC, DN 20 MM (1/2"), PARA CIRCUITOS TERMINAIS, INSTALADO EM FORRO - FORNECIMENTO E INSTALAÇÃO. AF_12/2015</t>
  </si>
  <si>
    <t>ELETRODUTO FLEXÍVEL CORRUGADO REFORÇADO, PVC, DN 25 MM (3/4"), PARA CIRCUITOS TERMINAIS, INSTALADO EM FORRO - FORNECIMENTO E INSTALAÇÃO. AF_12/2015</t>
  </si>
  <si>
    <t>ELETRODUTO FLEXÍVEL CORRUGADO REFORÇADO, PVC, DN 32 MM (1"), PARA CIRCUITOS TERMINAIS, INSTALADO EM FORRO - FORNECIMENTO E INSTALAÇÃO. AF_12/2015</t>
  </si>
  <si>
    <t>ELETRODUTO FLEXÍVEL CORRUGADO REFORÇADO, PVC, DN 20 MM (1/2"), PARA CIRCUITOS TERMINAIS, INSTALADO EM LAJE - FORNECIMENTO E INSTALAÇÃO. AF_12/2015</t>
  </si>
  <si>
    <t>ELETRODUTO FLEXÍVEL CORRUGADO REFORÇADO, PVC, DN 25 MM (3/4"), PARA CIRCUITOS TERMINAIS, INSTALADO EM LAJE - FORNECIMENTO E INSTALAÇÃO. AF_12/2015</t>
  </si>
  <si>
    <t>ELETRODUTO FLEXÍVEL CORRUGADO REFORÇADO, PVC, DN 32 MM (1"), PARA CIRCUITOS TERMINAIS, INSTALADO EM LAJE - FORNECIMENTO E INSTALAÇÃO. AF_12/2015</t>
  </si>
  <si>
    <t>ELETRODUTO FLEXÍVEL CORRUGADO REFORÇADO, PVC, DN 20 MM (1/2"), PARA CIRCUITOS TERMINAIS, INSTALADO EM PAREDE - FORNECIMENTO E INSTALAÇÃO. AF_12/2015</t>
  </si>
  <si>
    <t>ELETRODUTO FLEXÍVEL CORRUGADO REFORÇADO, PVC, DN 25 MM (3/4"), PARA CIRCUITOS TERMINAIS, INSTALADO EM PAREDE - FORNECIMENTO E INSTALAÇÃO. AF_12/2015</t>
  </si>
  <si>
    <t>ELETRODUTO FLEXÍVEL CORRUGADO REFORÇADO, PVC, DN 32 MM (1"), PARA CIRCUITOS TERMINAIS, INSTALADO EM PAREDE - FORNECIMENTO E INSTALAÇÃO. AF_12/2015</t>
  </si>
  <si>
    <t>LUVA PARA ELETRODUTO, PVC, ROSCÁVEL, DN 20 MM (1/2"), PARA CIRCUITOS TERMINAIS, INSTALADA EM FORRO - FORNECIMENTO E INSTALAÇÃO. AF_12/2015</t>
  </si>
  <si>
    <t>LUVA PARA ELETRODUTO, PVC, ROSCÁVEL, DN 25 MM (3/4"), PARA CIRCUITOS TERMINAIS, INSTALADA EM FORRO - FORNECIMENTO E INSTALAÇÃO. AF_12/2015</t>
  </si>
  <si>
    <t>LUVA PARA ELETRODUTO, PVC, ROSCÁVEL, DN 32 MM (1"), PARA CIRCUITOS TERMINAIS, INSTALADA EM FORRO - FORNECIMENTO E INSTALAÇÃO. AF_12/2015</t>
  </si>
  <si>
    <t>LUVA PARA ELETRODUTO, PVC, ROSCÁVEL, DN 40 MM (1 1/4"), PARA CIRCUITOS TERMINAIS, INSTALADA EM FORRO - FORNECIMENTO E INSTALAÇÃO. AF_12/2015</t>
  </si>
  <si>
    <t>LUVA PARA ELETRODUTO, PVC, ROSCÁVEL, DN 20 MM (1/2"), PARA CIRCUITOS TERMINAIS, INSTALADA EM LAJE - FORNECIMENTO E INSTALAÇÃO. AF_12/2015</t>
  </si>
  <si>
    <t>LUVA PARA ELETRODUTO, PVC, ROSCÁVEL, DN 25 MM (3/4"), PARA CIRCUITOS TERMINAIS, INSTALADA EM LAJE - FORNECIMENTO E INSTALAÇÃO. AF_12/2015</t>
  </si>
  <si>
    <t>LUVA PARA ELETRODUTO, PVC, ROSCÁVEL, DN 32 MM (1"), PARA CIRCUITOS TERMINAIS, INSTALADA EM LAJE - FORNECIMENTO E INSTALAÇÃO. AF_12/2015</t>
  </si>
  <si>
    <t>LUVA PARA ELETRODUTO, PVC, ROSCÁVEL, DN 40 MM (1 1/4"), PARA CIRCUITOS TERMINAIS, INSTALADA EM LAJE - FORNECIMENTO E INSTALAÇÃO. AF_12/2015</t>
  </si>
  <si>
    <t>LUVA PARA ELETRODUTO, PVC, ROSCÁVEL, DN 20 MM (1/2"), PARA CIRCUITOS TERMINAIS, INSTALADA EM PAREDE - FORNECIMENTO E INSTALAÇÃO. AF_12/2015</t>
  </si>
  <si>
    <t>LUVA PARA ELETRODUTO, PVC, ROSCÁVEL, DN 25 MM (3/4"), PARA CIRCUITOS TERMINAIS, INSTALADA EM PAREDE - FORNECIMENTO E INSTALAÇÃO. AF_12/2015</t>
  </si>
  <si>
    <t>LUVA PARA ELETRODUTO, PVC, ROSCÁVEL, DN 32 MM (1"), PARA CIRCUITOS TERMINAIS, INSTALADA EM PAREDE - FORNECIMENTO E INSTALAÇÃO. AF_12/2015</t>
  </si>
  <si>
    <t>LUVA PARA ELETRODUTO, PVC, ROSCÁVEL, DN 40 MM (1 1/4"), PARA CIRCUITOS TERMINAIS, INSTALADA EM PAREDE - FORNECIMENTO E INSTALAÇÃO. AF_12/2015</t>
  </si>
  <si>
    <t>CURVA 90 GRAUS PARA ELETRODUTO, PVC, ROSCÁVEL, DN 20 MM (1/2"), PARA CIRCUITOS TERMINAIS, INSTALADA EM FORRO - FORNECIMENTO E INSTALAÇÃO. AF_12/2015</t>
  </si>
  <si>
    <t>CURVA 180 GRAUS PARA ELETRODUTO, PVC, ROSCÁVEL, DN 20 MM (1/2"), PARA CIRCUITOS TERMINAIS, INSTALADA EM FORRO - FORNECIMENTO E INSTALAÇÃO. AF_12/2015</t>
  </si>
  <si>
    <t>CURVA 90 GRAUS PARA ELETRODUTO, PVC, ROSCÁVEL, DN 25 MM (3/4"), PARA CIRCUITOS TERMINAIS, INSTALADA EM FORRO - FORNECIMENTO E INSTALAÇÃO. AF_12/2015</t>
  </si>
  <si>
    <t>CURVA 180 GRAUS PARA ELETRODUTO, PVC, ROSCÁVEL, DN 25 MM (3/4"), PARA CIRCUITOS TERMINAIS, INSTALADA EM FORRO - FORNECIMENTO E INSTALAÇÃO. AF_12/2015</t>
  </si>
  <si>
    <t>CURVA 90 GRAUS PARA ELETRODUTO, PVC, ROSCÁVEL, DN 32 MM (1"), PARA CIRCUITOS TERMINAIS, INSTALADA EM FORRO - FORNECIMENTO E INSTALAÇÃO. AF_12/2015</t>
  </si>
  <si>
    <t>CURVA 90 GRAUS PARA ELETRODUTO, PVC, ROSCÁVEL, DN 40 MM (1 1/4"), PARA CIRCUITOS TERMINAIS, INSTALADA EM FORRO - FORNECIMENTO E INSTALAÇÃO. AF_12/2015</t>
  </si>
  <si>
    <t>CURVA 180 GRAUS PARA ELETRODUTO, PVC, ROSCÁVEL, DN 40 MM (1 1/4"), PARA CIRCUITOS TERMINAIS, INSTALADA EM FORRO - FORNECIMENTO E INSTALAÇÃO. AF_12/2015</t>
  </si>
  <si>
    <t>CURVA 90 GRAUS PARA ELETRODUTO, PVC, ROSCÁVEL, DN 20 MM (1/2"), PARA CIRCUITOS TERMINAIS, INSTALADA EM LAJE - FORNECIMENTO E INSTALAÇÃO. AF_12/2015</t>
  </si>
  <si>
    <t>CURVA 180 GRAUS PARA ELETRODUTO, PVC, ROSCÁVEL, DN 20 MM (1/2"), PARA CIRCUITOS TERMINAIS, INSTALADA EM LAJE - FORNECIMENTO E INSTALAÇÃO. AF_12/2015</t>
  </si>
  <si>
    <t>CURVA 90 GRAUS PARA ELETRODUTO, PVC, ROSCÁVEL, DN 25 MM (3/4"), PARA CIRCUITOS TERMINAIS, INSTALADA EM LAJE - FORNECIMENTO E INSTALAÇÃO. AF_12/2015</t>
  </si>
  <si>
    <t>CURVA 180 GRAUS PARA ELETRODUTO, PVC, ROSCÁVEL, DN 32 MM (1"), PARA CIRCUITOS TERMINAIS, INSTALADA EM FORRO - FORNECIMENTO E INSTALAÇÃO. AF_12/2015</t>
  </si>
  <si>
    <t>CURVA 180 GRAUS PARA ELETRODUTO, PVC, ROSCÁVEL, DN 32 MM (1), PARA CIRCUITOS TERMINAIS, INSTALADA EM LAJE - FORNECIMENTO E INSTALAÇÃO. AF_12/2015</t>
  </si>
  <si>
    <t>CURVA 180 GRAUS PARA ELETRODUTO, PVC, ROSCÁVEL, DN 32 MM (1), PARA CIRCUITOS TERMINAIS, INSTALADA EM PAREDE - FORNECIMENTO E INSTALAÇÃO. AF_12/2015</t>
  </si>
  <si>
    <t>CURVA 180 GRAUS PARA ELETRODUTO, PVC, ROSCÁVEL, DN 25 MM (3/4"), PARA CIRCUITOS TERMINAIS, INSTALADA EM LAJE - FORNECIMENTO E INSTALAÇÃO. AF_12/2015</t>
  </si>
  <si>
    <t>CURVA 90 GRAUS PARA ELETRODUTO, PVC, ROSCÁVEL, DN 32 MM (1"), PARA CIRCUITOS TERMINAIS, INSTALADA EM LAJE - FORNECIMENTO E INSTALAÇÃO. AF_12/2015</t>
  </si>
  <si>
    <t>CURVA 90 GRAUS PARA ELETRODUTO, PVC, ROSCÁVEL, DN 40 MM (1 1/4"), PARA CIRCUITOS TERMINAIS, INSTALADA EM LAJE - FORNECIMENTO E INSTALAÇÃO. AF_12/2015</t>
  </si>
  <si>
    <t>CURVA 180 GRAUS PARA ELETRODUTO, PVC, ROSCÁVEL, DN 40 MM (1 1/4"), PARA CIRCUITOS TERMINAIS, INSTALADA EM LAJE - FORNECIMENTO E INSTALAÇÃO. AF_12/2015</t>
  </si>
  <si>
    <t>CURVA 90 GRAUS PARA ELETRODUTO, PVC, ROSCÁVEL, DN 20 MM (1/2"), PARA CIRCUITOS TERMINAIS, INSTALADA EM PAREDE - FORNECIMENTO E INSTALAÇÃO. AF_12/2015</t>
  </si>
  <si>
    <t>CURVA 180 GRAUS PARA ELETRODUTO, PVC, ROSCÁVEL, DN 20 MM (1/2"), PARA CIRCUITOS TERMINAIS, INSTALADA EM PAREDE - FORNECIMENTO E INSTALAÇÃO. AF_12/2015</t>
  </si>
  <si>
    <t>CURVA 90 GRAUS PARA ELETRODUTO, PVC, ROSCÁVEL, DN 25 MM (3/4"), PARA CIRCUITOS TERMINAIS, INSTALADA EM PAREDE - FORNECIMENTO E INSTALAÇÃO. AF_12/2015</t>
  </si>
  <si>
    <t>CURVA 180 GRAUS PARA ELETRODUTO, PVC, ROSCÁVEL, DN 25 MM (3/4"), PARA CIRCUITOS TERMINAIS, INSTALADA EM PAREDE - FORNECIMENTO E INSTALAÇÃO. AF_12/2015</t>
  </si>
  <si>
    <t>CURVA 90 GRAUS PARA ELETRODUTO, PVC, ROSCÁVEL, DN 32 MM (1"), PARA CIRCUITOS TERMINAIS, INSTALADA EM PAREDE - FORNECIMENTO E INSTALAÇÃO. AF_12/2015</t>
  </si>
  <si>
    <t>CURVA 90 GRAUS PARA ELETRODUTO, PVC, ROSCÁVEL, DN 40 MM (1 1/4"), PARA CIRCUITOS TERMINAIS, INSTALADA EM PAREDE - FORNECIMENTO E INSTALAÇÃO. AF_12/2015</t>
  </si>
  <si>
    <t>CURVA 180 GRAUS PARA ELETRODUTO, PVC, ROSCÁVEL, DN 40 MM (1 1/4"), PARA CIRCUITOS TERMINAIS, INSTALADA EM PAREDE - FORNECIMENTO E INSTALAÇÃO. AF_12/2015</t>
  </si>
  <si>
    <t>LUVA PARA ELETRODUTO, PVC, ROSCÁVEL, DN 50 MM (1 1/2") - FORNECIMENTO E INSTALAÇÃO. AF_12/2015</t>
  </si>
  <si>
    <t>LUVA PARA ELETRODUTO, PVC, ROSCÁVEL, DN 60 MM (2") - FORNECIMENTO E INSTALAÇÃO. AF_12/2015</t>
  </si>
  <si>
    <t>LUVA PARA ELETRODUTO, PVC, ROSCÁVEL, DN 75 MM (2 1/2") - FORNECIMENTO E INSTALAÇÃO. AF_12/2015</t>
  </si>
  <si>
    <t>LUVA PARA ELETRODUTO, PVC, ROSCÁVEL, DN 85 MM (3") - FORNECIMENTO E INSTALAÇÃO. AF_12/2015</t>
  </si>
  <si>
    <t>LUVA PARA ELETRODUTO, PVC, ROSCÁVEL, DN 110 MM (4") - FORNECIMENTO E INSTALAÇÃO. AF_12/2015</t>
  </si>
  <si>
    <t>CURVA 90 GRAUS PARA ELETRODUTO, PVC, ROSCÁVEL, DN 50 MM (1 1/2") - FORNECIMENTO E INSTALAÇÃO. AF_12/2015</t>
  </si>
  <si>
    <t>CURVA 90 GRAUS PARA ELETRODUTO, PVC, ROSCÁVEL, DN 60 MM (2") - FORNECIMENTO E INSTALAÇÃO. AF_12/2015</t>
  </si>
  <si>
    <t>CURVA 90 GRAUS PARA ELETRODUTO, PVC, ROSCÁVEL, DN 75 MM (2 1/2") - FORNECIMENTO E INSTALAÇÃO. AF_12/2015</t>
  </si>
  <si>
    <t>CURVA 90 GRAUS PARA ELETRODUTO, PVC, ROSCÁVEL, DN 85 MM (3") - FORNECIMENTO E INSTALAÇÃO. AF_12/2015</t>
  </si>
  <si>
    <t>CURVA 90 GRAUS PARA ELETRODUTO, PVC, ROSCÁVEL, DN 110 MM (4") - FORNECIMENTO E INSTALAÇÃO. AF_12/2015</t>
  </si>
  <si>
    <t>CURVA 135 GRAUS PARA ELETRODUTO, PVC, ROSCÁVEL, DN 25 MM (3/4), PARA CIRCUITOS TERMINAIS, INSTALADA EM FORRO - FORNECIMENTO E INSTALAÇÃO. AF_12/2015</t>
  </si>
  <si>
    <t>CURVA 135 GRAUS PARA ELETRODUTO, PVC, ROSCÁVEL, DN 25 MM (3/4), PARA CIRCUITOS TERMINAIS, INSTALADA EM LAJE - FORNECIMENTO E INSTALAÇÃO. AF_12/2015</t>
  </si>
  <si>
    <t>CURVA 135 GRAUS PARA ELETRODUTO, PVC, ROSCÁVEL, DN 25 MM (3/4), PARA CIRCUITOS TERMINAIS, INSTALADA EM PAREDE - FORNECIMENTO E INSTALAÇÃO. AF_12/2015</t>
  </si>
  <si>
    <t>ELETRODUTO RÍGIDO ROSCÁVEL, PVC, DN 20 MM (1/2"), PARA CIRCUITOS TERMINAIS, INSTALADO EM FORRO - FORNECIMENTO E INSTALAÇÃO. AF_12/2015</t>
  </si>
  <si>
    <t>ELETRODUTO RÍGIDO ROSCÁVEL, PVC, DN 25 MM (3/4"), PARA CIRCUITOS TERMINAIS, INSTALADO EM FORRO - FORNECIMENTO E INSTALAÇÃO. AF_12/2015</t>
  </si>
  <si>
    <t>ELETRODUTO RÍGIDO ROSCÁVEL, PVC, DN 32 MM (1"), PARA CIRCUITOS TERMINAIS, INSTALADO EM FORRO - FORNECIMENTO E INSTALAÇÃO. AF_12/2015</t>
  </si>
  <si>
    <t>ELETRODUTO RÍGIDO ROSCÁVEL, PVC, DN 40 MM (1 1/4"), PARA CIRCUITOS TERMINAIS, INSTALADO EM FORRO - FORNECIMENTO E INSTALAÇÃO. AF_12/2015</t>
  </si>
  <si>
    <t>ELETRODUTO RÍGIDO ROSCÁVEL, PVC, DN 20 MM (1/2"), PARA CIRCUITOS TERMINAIS, INSTALADO EM LAJE - FORNECIMENTO E INSTALAÇÃO. AF_12/2015</t>
  </si>
  <si>
    <t>ELETRODUTO RÍGIDO ROSCÁVEL, PVC, DN 25 MM (3/4"), PARA CIRCUITOS TERMINAIS, INSTALADO EM LAJE - FORNECIMENTO E INSTALAÇÃO. AF_12/2015</t>
  </si>
  <si>
    <t>ELETRODUTO RÍGIDO ROSCÁVEL, PVC, DN 32 MM (1"), PARA CIRCUITOS TERMINAIS, INSTALADO EM LAJE - FORNECIMENTO E INSTALAÇÃO. AF_12/2015</t>
  </si>
  <si>
    <t>ELETRODUTO RÍGIDO ROSCÁVEL, PVC, DN 40 MM (1 1/4"), PARA CIRCUITOS TERMINAIS, INSTALADO EM LAJE - FORNECIMENTO E INSTALAÇÃO. AF_12/2015</t>
  </si>
  <si>
    <t>ELETRODUTO RÍGIDO ROSCÁVEL, PVC, DN 20 MM (1/2"), PARA CIRCUITOS TERMINAIS, INSTALADO EM PAREDE - FORNECIMENTO E INSTALAÇÃO. AF_12/2015</t>
  </si>
  <si>
    <t>ELETRODUTO RÍGIDO ROSCÁVEL, PVC, DN 25 MM (3/4"), PARA CIRCUITOS TERMINAIS, INSTALADO EM PAREDE - FORNECIMENTO E INSTALAÇÃO. AF_12/2015</t>
  </si>
  <si>
    <t>ELETRODUTO RÍGIDO ROSCÁVEL, PVC, DN 32 MM (1"), PARA CIRCUITOS TERMINAIS, INSTALADO EM PAREDE - FORNECIMENTO E INSTALAÇÃO. AF_12/2015</t>
  </si>
  <si>
    <t>ELETRODUTO RÍGIDO ROSCÁVEL, PVC, DN 40 MM (1 1/4"), PARA CIRCUITOS TERMINAIS, INSTALADO EM PAREDE - FORNECIMENTO E INSTALAÇÃO. AF_12/2015</t>
  </si>
  <si>
    <t>ELETRODUTO RÍGIDO ROSCÁVEL, PVC, DN 50 MM (1 1/2") - FORNECIMENTO E INSTALAÇÃO. AF_12/2015</t>
  </si>
  <si>
    <t>ELETRODUTO RÍGIDO ROSCÁVEL, PVC, DN 60 MM (2") - FORNECIMENTO E INSTALAÇÃO. AF_12/2015</t>
  </si>
  <si>
    <t>ELETRODUTO RÍGIDO ROSCÁVEL, PVC, DN 75 MM (2 1/2") - FORNECIMENTO E INSTALAÇÃO. AF_12/2015</t>
  </si>
  <si>
    <t>ELETRODUTO RÍGIDO ROSCÁVEL, PVC, DN 85 MM (3") - FORNECIMENTO E INSTALAÇÃO. AF_12/2015</t>
  </si>
  <si>
    <t>ELETRODUTO RÍGIDO ROSCÁVEL, PVC, DN 110 MM (4") - FORNECIMENTO E INSTALAÇÃO. AF_12/2015</t>
  </si>
  <si>
    <t>ELETRODUTO RÍGIDO SOLDÁVEL, PVC, DN 20 MM (½), APARENTE, INSTALADO EM TETO - FORNECIMENTO E INSTALAÇÃO. AF_11/2016_P</t>
  </si>
  <si>
    <t>ELETRODUTO RÍGIDO SOLDÁVEL, PVC, DN 25 MM (3/4), APARENTE, INSTALADO EM TETO - FORNECIMENTO E INSTALAÇÃO. AF_11/2016_P</t>
  </si>
  <si>
    <t>ELETRODUTO RÍGIDO SOLDÁVEL, PVC, DN 32 MM (1), APARENTE, INSTALADO EM TETO - FORNECIMENTO E INSTALAÇÃO. AF_11/2016_P</t>
  </si>
  <si>
    <t>ELETRODUTO RÍGIDO SOLDÁVEL, PVC, DN 20 MM (½), APARENTE, INSTALADO EM PAREDE - FORNECIMENTO E INSTALAÇÃO. AF_11/2016_P</t>
  </si>
  <si>
    <t>ELETRODUTO RÍGIDO SOLDÁVEL, PVC, DN 25 MM (3/4), APARENTE, INSTALADO EM PAREDE - FORNECIMENTO E INSTALAÇÃO. AF_11/2016_P</t>
  </si>
  <si>
    <t>ELETRODUTO RÍGIDO SOLDÁVEL, PVC, DN 32 MM (1), APARENTE, INSTALADO EM PAREDE - FORNECIMENTO E INSTALAÇÃO. AF_11/2016_P</t>
  </si>
  <si>
    <t>LUVA PARA ELETRODUTO, PVC, SOLDÁVEL, DN 25 MM (3/4), APARENTE, INSTALADA EM TETO - FORNECIMENTO E INSTALAÇÃO. AF_11/2016_P</t>
  </si>
  <si>
    <t>LUVA PARA ELETRODUTO, PVC, SOLDÁVEL, DN 32 MM (1), APARENTE, INSTALADA EM TETO - FORNECIMENTO E INSTALAÇÃO. AF_11/2016_P</t>
  </si>
  <si>
    <t>LUVA PARA ELETRODUTO, PVC, SOLDÁVEL, DN 20 MM (1/2), APARENTE, INSTALADA EM PAREDE - FORNECIMENTO E INSTALAÇÃO. AF_11/2016_P</t>
  </si>
  <si>
    <t>LUVA PARA ELETRODUTO, PVC, SOLDÁVEL, DN 25 MM (3/4), APARENTE, INSTALADA EM PAREDE - FORNECIMENTO E INSTALAÇÃO. AF_11/2016_P</t>
  </si>
  <si>
    <t>LUVA PARA ELETRODUTO, PVC, SOLDÁVEL, DN 32 MM (1), APARENTE, INSTALADA EM PAREDE - FORNECIMENTO E INSTALAÇÃO. AF_11/2016_P</t>
  </si>
  <si>
    <t>LUVA PARA ELETRODUTO, PVC, SOLDÁVEL, DN 20 MM (1/2), APARENTE, INSTALADA EM TETO - FORNECIMENTO E INSTALAÇÃO. AF_11/2016_P</t>
  </si>
  <si>
    <t>ELETRODUTO DE AÇO GALVANIZADO, CLASSE LEVE, DN 20 MM (3/4), APARENTE, INSTALADO EM TETO - FORNECIMENTO E INSTALAÇÃO. AF_11/2016_P</t>
  </si>
  <si>
    <t>ELETRODUTO DE AÇO GALVANIZADO, CLASSE LEVE, DN 25 MM (1), APARENTE, INSTALADO EM TETO - FORNECIMENTO E INSTALAÇÃO. AF_11/2016_P</t>
  </si>
  <si>
    <t>ELETRODUTO DE AÇO GALVANIZADO, CLASSE SEMI PESADO, DN 32 MM (1 1/4), APARENTE, INSTALADO EM TETO - FORNECIMENTO E INSTALAÇÃO. AF_11/2016_P</t>
  </si>
  <si>
    <t>ELETRODUTO DE AÇO GALVANIZADO, CLASSE SEMI PESADO, DN 40 MM (1 1/2 ), APARENTE, INSTALADO EM TETO - FORNECIMENTO E INSTALAÇÃO. AF_11/2016_P</t>
  </si>
  <si>
    <t>ELETRODUTO DE AÇO GALVANIZADO, CLASSE LEVE, DN 20 MM (3/4), APARENTE, INSTALADO EM PAREDE - FORNECIMENTO E INSTALAÇÃO. AF_11/2016_P</t>
  </si>
  <si>
    <t>ELETRODUTO DE AÇO GALVANIZADO, CLASSE LEVE, DN 25 MM (1), APARENTE, INSTALADO EM PAREDE - FORNECIMENTO E INSTALAÇÃO. AF_11/2016_P</t>
  </si>
  <si>
    <t>ELETRODUTO DE AÇO GALVANIZADO, CLASSE SEMI PESADO, DN 32 MM (1 1/4), APARENTE, INSTALADO EM PAREDE - FORNECIMENTO E INSTALAÇÃO. AF_11/2016_P</t>
  </si>
  <si>
    <t>ELETRODUTO DE AÇO GALVANIZADO, CLASSE SEMI PESADO, DN 40 MM (1 1/2  ), APARENTE, INSTALADO EM PAREDE - FORNECIMENTO E INSTALAÇÃO. AF_11/2016_P</t>
  </si>
  <si>
    <t>LUVA DE EMENDA PARA ELETRODUTO, AÇO GALVANIZADO, DN 20 MM (3/4  ), APARENTE, INSTALADA EM TETO - FORNECIMENTO E INSTALAÇÃO. AF_11/2016_P</t>
  </si>
  <si>
    <t>LUVA DE EMENDA PARA ELETRODUTO, AÇO GALVANIZADO, DN 25 MM (1''), APARENTE, INSTALADA EM TETO - FORNECIMENTO E INSTALAÇÃO. AF_11/2016_P</t>
  </si>
  <si>
    <t>LUVA DE EMENDA PARA ELETRODUTO, AÇO GALVANIZADO, DN 32 MM (1 1/4''), APARENTE, INSTALADA EM TETO - FORNECIMENTO E INSTALAÇÃO. AF_11/2016_P</t>
  </si>
  <si>
    <t>LUVA DE EMENDA PARA ELETRODUTO, AÇO GALVANIZADO, DN 40 MM (1 1/2''), APARENTE, INSTALADA EM TETO - FORNECIMENTO E INSTALAÇÃO. AF_11/2016_P</t>
  </si>
  <si>
    <t>LUVA DE EMENDA PARA ELETRODUTO, AÇO GALVANIZADO, DN 20 MM (3/4''), APARENTE, INSTALADA EM PAREDE - FORNECIMENTO E INSTALAÇÃO. AF_11/2016_P</t>
  </si>
  <si>
    <t>LUVA DE EMENDA PARA ELETRODUTO, AÇO GALVANIZADO, DN 25 MM (1''), APARENTE, INSTALADA EM PAREDE - FORNECIMENTO E INSTALAÇÃO. AF_11/2016_P</t>
  </si>
  <si>
    <t>LUVA DE EMENDA PARA ELETRODUTO, AÇO GALVANIZADO, DN 32 MM (1 1/4''), APARENTE, INSTALADA EM PAREDE - FORNECIMENTO E INSTALAÇÃO. AF_11/2016_P</t>
  </si>
  <si>
    <t>LUVA DE EMENDA PARA ELETRODUTO, AÇO GALVANIZADO, DN 40 MM (1 1/2''), APARENTE, INSTALADA EM PAREDE - FORNECIMENTO E INSTALAÇÃO. AF_11/2016_P</t>
  </si>
  <si>
    <t>ELETRODUTO FLEXÍVEL LISO, PEAD, DN 32 MM (1"), PARA CIRCUITOS TERMINAIS, INSTALADO EM FORRO - FORNECIMENTO E INSTALAÇÃO. AF_12/2015</t>
  </si>
  <si>
    <t>ELETRODUTO FLEXÍVEL CORRUGADO, PEAD, DN 40 MM (1 1/4"), PARA CIRCUITOS TERMINAIS, INSTALADO EM FORRO - FORNECIMENTO E INSTALAÇÃO. AF_12/2015</t>
  </si>
  <si>
    <t>ELETRODUTO FLEXÍVEL LISO, PEAD, DN 40 MM (1 1/4"), PARA CIRCUITOS TERMINAIS, INSTALADO EM FORRO - FORNECIMENTO E INSTALAÇÃO. AF_12/2015</t>
  </si>
  <si>
    <t>ELETRODUTO FLEXÍVEL LISO, PEAD, DN 32 MM (1"), PARA CIRCUITOS TERMINAIS, INSTALADO EM LAJE - FORNECIMENTO E INSTALAÇÃO. AF_12/2015</t>
  </si>
  <si>
    <t>ELETRODUTO FLEXÍVEL CORRUGADO, PEAD, DN 40 MM (1 1/4"), PARA CIRCUITOS TERMINAIS, INSTALADO EM LAJE - FORNECIMENTO E INSTALAÇÃO. AF_12/2015</t>
  </si>
  <si>
    <t>ELETRODUTO FLEXÍVEL LISO, PEAD, DN 40 MM (1 1/4"), PARA CIRCUITOS TERMINAIS, INSTALADO EM LAJE - FORNECIMENTO E INSTALAÇÃO. AF_12/2015</t>
  </si>
  <si>
    <t>ELETRODUTO FLEXÍVEL LISO, PEAD, DN 32 MM (1"), PARA CIRCUITOS TERMINAIS, INSTALADO EM PAREDE - FORNECIMENTO E INSTALAÇÃO. AF_12/2015</t>
  </si>
  <si>
    <t>ELETRODUTO FLEXÍVEL CORRUGADO, PEAD, DN 40 MM (1 1/4"), PARA CIRCUITOS TERMINAIS, INSTALADO EM PAREDE - FORNECIMENTO E INSTALAÇÃO. AF_12/2015</t>
  </si>
  <si>
    <t>ELETRODUTO FLEXÍVEL LISO, PEAD, DN 40 MM (1 1/4"), PARA CIRCUITOS TERMINAIS, INSTALADO EM PAREDE - FORNECIMENTO E INSTALAÇÃO. AF_12/2015</t>
  </si>
  <si>
    <t>ELETRODUTO FLEXÍVEL CORRUGADO, PEAD, DN 50 (1 ½)  - FORNECIMENTO E INSTALAÇÃO. AF_04/2016</t>
  </si>
  <si>
    <t>ELETRODUTO FLEXÍVEL CORRUGADO, PEAD, DN 63 (2")  - FORNECIMENTO E INSTALAÇÃO. AF_04/2016</t>
  </si>
  <si>
    <t>ELETRODUTO FLEXÍVEL CORRUGADO, PEAD, DN 90 (3) - FORNECIMENTO E INSTALAÇÃO. AF_04/2016</t>
  </si>
  <si>
    <t>ELETRODUTO FLEXÍVEL CORRUGADO, PEAD, DN 100 (4) - FORNECIMENTO E INSTALAÇÃO. AF_04/2016</t>
  </si>
  <si>
    <t>CABO DE COBRE FLEXÍVEL ISOLADO, 1,5 MM², ANTI-CHAMA 450/750 V, PARA CIRCUITOS TERMINAIS - FORNECIMENTO E INSTALAÇÃO. AF_12/2015</t>
  </si>
  <si>
    <t>CABO DE COBRE FLEXÍVEL ISOLADO, 2,5 MM², ANTI-CHAMA 450/750 V, PARA CIRCUITOS TERMINAIS - FORNECIMENTO E INSTALAÇÃO. AF_12/2015</t>
  </si>
  <si>
    <t>CABO DE COBRE FLEXÍVEL ISOLADO, 4 MM², ANTI-CHAMA 450/750 V, PARA CIRCUITOS TERMINAIS - FORNECIMENTO E INSTALAÇÃO. AF_12/2015</t>
  </si>
  <si>
    <t>CABO DE COBRE FLEXÍVEL ISOLADO, 6 MM², ANTI-CHAMA 450/750 V, PARA CIRCUITOS TERMINAIS - FORNECIMENTO E INSTALAÇÃO. AF_12/2015</t>
  </si>
  <si>
    <t>CABO DE COBRE FLEXÍVEL ISOLADO, 10 MM², ANTI-CHAMA 450/750 V, PARA CIRCUITOS TERMINAIS - FORNECIMENTO E INSTALAÇÃO. AF_12/2015</t>
  </si>
  <si>
    <t>CABO DE COBRE FLEXÍVEL ISOLADO, 16 MM², ANTI-CHAMA 450/750 V, PARA CIRCUITOS TERMINAIS - FORNECIMENTO E INSTALAÇÃO. AF_12/2015</t>
  </si>
  <si>
    <t>CABO DE COBRE FLEXÍVEL ISOLADO, 10 MM², ANTI-CHAMA 450/750 V, PARA DISTRIBUIÇÃO - FORNECIMENTO E INSTALAÇÃO. AF_12/2015</t>
  </si>
  <si>
    <t>CABO DE COBRE FLEXÍVEL ISOLADO, 16 MM², ANTI-CHAMA 450/750 V, PARA DISTRIBUIÇÃO - FORNECIMENTO E INSTALAÇÃO. AF_12/2015</t>
  </si>
  <si>
    <t>CABO DE COBRE FLEXÍVEL ISOLADO, 25 MM², ANTI-CHAMA 450/750 V, PARA DISTRIBUIÇÃO - FORNECIMENTO E INSTALAÇÃO. AF_12/2015</t>
  </si>
  <si>
    <t>CABO DE COBRE FLEXÍVEL ISOLADO, 35 MM², ANTI-CHAMA 450/750 V, PARA DISTRIBUIÇÃO - FORNECIMENTO E INSTALAÇÃO. AF_12/2015</t>
  </si>
  <si>
    <t>CABO DE COBRE FLEXÍVEL ISOLADO, 50 MM², ANTI-CHAMA 450/750 V, PARA DISTRIBUIÇÃO - FORNECIMENTO E INSTALAÇÃO. AF_12/2015</t>
  </si>
  <si>
    <t>CABO DE COBRE FLEXÍVEL ISOLADO, 70 MM², ANTI-CHAMA 450/750 V, PARA DISTRIBUIÇÃO - FORNECIMENTO E INSTALAÇÃO. AF_12/2015</t>
  </si>
  <si>
    <t>CABO DE COBRE FLEXÍVEL ISOLADO, 95 MM², ANTI-CHAMA 450/750 V, PARA DISTRIBUIÇÃO - FORNECIMENTO E INSTALAÇÃO. AF_12/2015</t>
  </si>
  <si>
    <t>CABO DE COBRE FLEXÍVEL ISOLADO, 120 MM², ANTI-CHAMA 450/750 V, PARA DISTRIBUIÇÃO - FORNECIMENTO E INSTALAÇÃO. AF_12/2015</t>
  </si>
  <si>
    <t>CABO DE COBRE FLEXÍVEL ISOLADO, 150 MM², ANTI-CHAMA 450/750 V, PARA DISTRIBUIÇÃO - FORNECIMENTO E INSTALAÇÃO. AF_12/2015</t>
  </si>
  <si>
    <t>CABO DE COBRE FLEXÍVEL ISOLADO, 185 MM², ANTI-CHAMA 450/750 V, PARA DISTRIBUIÇÃO - FORNECIMENTO E INSTALAÇÃO. AF_12/2015</t>
  </si>
  <si>
    <t>CABO DE COBRE FLEXÍVEL ISOLADO, 240 MM², ANTI-CHAMA 450/750 V, PARA DISTRIBUIÇÃO - FORNECIMENTO E INSTALAÇÃO. AF_12/2015</t>
  </si>
  <si>
    <t>CABO DE COBRE RÍGIDO ISOLADO, 300 MM², ANTI-CHAMA 450/750 V, PARA DISTRIBUIÇÃO - FORNECIMENTO E INSTALAÇÃO. AF_12/2015</t>
  </si>
  <si>
    <t>CABO DE COBRE FLEXÍVEL ISOLADO, 1,5 MM², ANTI-CHAMA 0,6/1,0 KV, PARA CIRCUITOS TERMINAIS - FORNECIMENTO E INSTALAÇÃO. AF_12/2015</t>
  </si>
  <si>
    <t>CABO DE COBRE FLEXÍVEL ISOLADO, 2,5 MM², ANTI-CHAMA 0,6/1,0 KV, PARA CIRCUITOS TERMINAIS - FORNECIMENTO E INSTALAÇÃO. AF_12/2015</t>
  </si>
  <si>
    <t>CABO DE COBRE FLEXÍVEL ISOLADO, 4 MM², ANTI-CHAMA 0,6/1,0 KV, PARA CIRCUITOS TERMINAIS - FORNECIMENTO E INSTALAÇÃO. AF_12/2015</t>
  </si>
  <si>
    <t>CABO DE COBRE FLEXÍVEL ISOLADO, 6 MM², ANTI-CHAMA 0,6/1,0 KV, PARA CIRCUITOS TERMINAIS - FORNECIMENTO E INSTALAÇÃO. AF_12/2015</t>
  </si>
  <si>
    <t>CABO DE COBRE FLEXÍVEL ISOLADO, 10 MM², ANTI-CHAMA 0,6/1,0 KV, PARA CIRCUITOS TERMINAIS - FORNECIMENTO E INSTALAÇÃO. AF_12/2015</t>
  </si>
  <si>
    <t>CABO DE COBRE FLEXÍVEL ISOLADO, 16 MM², ANTI-CHAMA 0,6/1,0 KV, PARA CIRCUITOS TERMINAIS - FORNECIMENTO E INSTALAÇÃO. AF_12/2015</t>
  </si>
  <si>
    <t>CABO DE COBRE FLEXÍVEL ISOLADO, 10 MM², ANTI-CHAMA 0,6/1,0 KV, PARA DISTRIBUIÇÃO - FORNECIMENTO E INSTALAÇÃO. AF_12/2015</t>
  </si>
  <si>
    <t>CABO DE COBRE FLEXÍVEL ISOLADO, 16 MM², ANTI-CHAMA 0,6/1,0 KV, PARA DISTRIBUIÇÃO - FORNECIMENTO E INSTALAÇÃO. AF_12/2015</t>
  </si>
  <si>
    <t>CABO DE COBRE FLEXÍVEL ISOLADO, 25 MM², ANTI-CHAMA 0,6/1,0 KV, PARA DISTRIBUIÇÃO - FORNECIMENTO E INSTALAÇÃO. AF_12/2015</t>
  </si>
  <si>
    <t>CABO DE COBRE FLEXÍVEL ISOLADO, 35 MM², ANTI-CHAMA 0,6/1,0 KV, PARA DISTRIBUIÇÃO - FORNECIMENTO E INSTALAÇÃO. AF_12/2015</t>
  </si>
  <si>
    <t>CABO DE COBRE FLEXÍVEL ISOLADO, 50 MM², ANTI-CHAMA 0,6/1,0 KV, PARA DISTRIBUIÇÃO - FORNECIMENTO E INSTALAÇÃO. AF_12/2015</t>
  </si>
  <si>
    <t>CABO DE COBRE FLEXÍVEL ISOLADO, 70 MM², ANTI-CHAMA 0,6/1,0 KV, PARA DISTRIBUIÇÃO - FORNECIMENTO E INSTALAÇÃO. AF_12/2015</t>
  </si>
  <si>
    <t>CABO DE COBRE FLEXÍVEL ISOLADO, 95 MM², ANTI-CHAMA 0,6/1,0 KV, PARA DISTRIBUIÇÃO - FORNECIMENTO E INSTALAÇÃO. AF_12/2015</t>
  </si>
  <si>
    <t>CABO DE COBRE FLEXÍVEL ISOLADO, 120 MM², ANTI-CHAMA 0,6/1,0 KV, PARA DISTRIBUIÇÃO - FORNECIMENTO E INSTALAÇÃO. AF_12/2015</t>
  </si>
  <si>
    <t>CABO DE COBRE FLEXÍVEL ISOLADO, 150 MM², ANTI-CHAMA 0,6/1,0 KV, PARA DISTRIBUIÇÃO - FORNECIMENTO E INSTALAÇÃO. AF_12/2015</t>
  </si>
  <si>
    <t>CABO DE COBRE FLEXÍVEL ISOLADO, 185 MM², ANTI-CHAMA 0,6/1,0 KV, PARA DISTRIBUIÇÃO - FORNECIMENTO E INSTALAÇÃO. AF_12/2015</t>
  </si>
  <si>
    <t>CABO DE COBRE FLEXÍVEL ISOLADO, 240 MM², ANTI-CHAMA 0,6/1,0 KV, PARA DISTRIBUIÇÃO - FORNECIMENTO E INSTALAÇÃO. AF_12/2015</t>
  </si>
  <si>
    <t>CABO DE COBRE FLEXÍVEL ISOLADO, 300 MM², ANTI-CHAMA 0,6/1,0 KV, PARA DISTRIBUIÇÃO - FORNECIMENTO E INSTALAÇÃO. AF_12/2015</t>
  </si>
  <si>
    <t>CABO DE COBRE ISOLADO, 10 MM², ANTI-CHAMA 450/750 V, INSTALADO EM ELETROCALHA OU PERFILADO - FORNECIMENTO E INSTALAÇÃO. AF_10/2020</t>
  </si>
  <si>
    <t>CABO DE COBRE ISOLADO, 10 MM², ANTI-CHAMA 0,6/1 KV, INSTALADO EM ELETROCALHA OU PERFILADO - FORNECIMENTO E INSTALAÇÃO. AF_10/2020</t>
  </si>
  <si>
    <t>CABO DE COBRE ISOLADO, 16 MM², ANTI-CHAMA 450/750 V, INSTALADO EM ELETROCALHA OU PERFILADO - FORNECIMENTO E INSTALAÇÃO. AF_10/2020</t>
  </si>
  <si>
    <t>CABO DE COBRE ISOLADO, 16 MM², ANTI-CHAMA 0,6/1 KV, INSTALADO EM ELETROCALHA OU PERFILADO - FORNECIMENTO E INSTALAÇÃO. AF_10/2020</t>
  </si>
  <si>
    <t>CABO DE COBRE ISOLADO, 25 MM², ANTI-CHAMA 450/750 V, INSTALADO EM ELETROCALHA OU PERFILADO - FORNECIMENTO E INSTALAÇÃO. AF_10/2020</t>
  </si>
  <si>
    <t>CABO DE COBRE ISOLADO, 25 MM², ANTI-CHAMA 0,6/1 KV, INSTALADO EM ELETROCALHA OU PERFILADO - FORNECIMENTO E INSTALAÇÃO. AF_10/2020</t>
  </si>
  <si>
    <t>CABO DE COBRE FLEXÍVEL ISOLADO, 10 MM², 0,6/1,0 KV, PARA REDE AÉREA DE DISTRIBUIÇÃO DE ENERGIA ELÉTRICA DE BAIXA TENSÃO - FORNECIMENTO E INSTALAÇÃO. AF_07/2020</t>
  </si>
  <si>
    <t>CABO DE COBRE FLEXÍVEL ISOLADO, 16 MM², 0,6/1,0 KV, PARA REDE AÉREA DE DISTRIBUIÇÃO DE ENERGIA ELÉTRICA DE BAIXA TENSÃO - FORNECIMENTO E INSTALAÇÃO. AF_07/2020</t>
  </si>
  <si>
    <t>CABO DE COBRE FLEXÍVEL ISOLADO, 25 MM², 0,6/1,0 KV, PARA REDE AÉREA DE DISTRIBUIÇÃO DE ENERGIA ELÉTRICA DE BAIXA TENSÃO - FORNECIMENTO E INSTALAÇÃO. AF_07/2020</t>
  </si>
  <si>
    <t>CABO DE COBRE FLEXÍVEL ISOLADO, 35 MM², 0,6/1,0 KV, PARA REDE AÉREA DE DISTRIBUIÇÃO DE ENERGIA ELÉTRICA DE BAIXA TENSÃO - FORNECIMENTO E INSTALAÇÃO. AF_07/2020</t>
  </si>
  <si>
    <t>CABO DE COBRE FLEXÍVEL ISOLADO, 50 MM², 0,6/1,0 KV, PARA REDE AÉREA DE DISTRIBUIÇÃO DE ENERGIA ELÉTRICA DE BAIXA TENSÃO - FORNECIMENTO E INSTALAÇÃO. AF_07/2020</t>
  </si>
  <si>
    <t>CABO DE COBRE FLEXÍVEL ISOLADO, 70 MM², 0,6/1,0 KV, PARA REDE AÉREA DE DISTRIBUIÇÃO DE ENERGIA ELÉTRICA DE BAIXA TENSÃO - FORNECIMENTO E INSTALAÇÃO. AF_07/2020</t>
  </si>
  <si>
    <t>CABO DE COBRE FLEXÍVEL ISOLADO, 95 MM², 0,6/1,0 KV, PARA REDE AÉREA DE DISTRIBUIÇÃO DE ENERGIA ELÉTRICA DE BAIXA TENSÃO - FORNECIMENTO E INSTALAÇÃO. AF_07/2020</t>
  </si>
  <si>
    <t>CABO DE COBRE FLEXÍVEL ISOLADO, 120 MM², 0,6/1,0 KV, PARA REDE AÉREA DE DISTRIBUIÇÃO DE ENERGIA ELÉTRICA DE BAIXA TENSÃO - FORNECIMENTO E INSTALAÇÃO. AF_07/2020</t>
  </si>
  <si>
    <t>CONDULETE DE ALUMÍNIO, TIPO B, PARA ELETRODUTO DE AÇO GALVANIZADO DN 20 MM (3/4''), APARENTE - FORNECIMENTO E INSTALAÇÃO. AF_11/2016_P</t>
  </si>
  <si>
    <t>CONDULETE DE ALUMÍNIO, TIPO C, PARA ELETRODUTO DE AÇO GALVANIZADO DN 20 MM (3/4''), APARENTE - FORNECIMENTO E INSTALAÇÃO. AF_11/2016_P</t>
  </si>
  <si>
    <t>CONDULETE DE ALUMÍNIO, TIPO E, PARA ELETRODUTO DE AÇO GALVANIZADO DN 20 MM (3/4''), APARENTE - FORNECIMENTO E INSTALAÇÃO. AF_11/2016_P</t>
  </si>
  <si>
    <t>CONDULETE DE ALUMÍNIO, TIPO B, PARA ELETRODUTO DE AÇO GALVANIZADO DN 25 MM (1''), APARENTE - FORNECIMENTO E INSTALAÇÃO. AF_11/2016_P</t>
  </si>
  <si>
    <t>CONDULETE DE ALUMÍNIO, TIPO C, PARA ELETRODUTO DE AÇO GALVANIZADO DN 25 MM (1''), APARENTE - FORNECIMENTO E INSTALAÇÃO. AF_11/2016_P</t>
  </si>
  <si>
    <t>CONDULETE DE ALUMÍNIO, TIPO E, ELETRODUTO DE AÇO GALVANIZADO DN 25 MM (1''), APARENTE - FORNECIMENTO E INSTALAÇÃO. AF_11/2016_P</t>
  </si>
  <si>
    <t>CONDULETE DE ALUMÍNIO, TIPO E, PARA ELETRODUTO DE AÇO GALVANIZADO DN 32 MM (1 1/4''), APARENTE - FORNECIMENTO E INSTALAÇÃO. AF_11/2016_P</t>
  </si>
  <si>
    <t>CONDULETE DE ALUMÍNIO, TIPO LR, PARA ELETRODUTO DE AÇO GALVANIZADO DN 20 MM (3/4''), APARENTE - FORNECIMENTO E INSTALAÇÃO. AF_11/2016_P</t>
  </si>
  <si>
    <t>CONDULETE DE ALUMÍNIO, TIPO LR, PARA ELETRODUTO DE AÇO GALVANIZADO DN 25 MM (1''), APARENTE - FORNECIMENTO E INSTALAÇÃO. AF_11/2016_P</t>
  </si>
  <si>
    <t>CONDULETE DE ALUMÍNIO, TIPO LR, PARA ELETRODUTO DE AÇO GALVANIZADO DN 32 MM (1 1/4''), APARENTE - FORNECIMENTO E INSTALAÇÃO. AF_11/2016_P</t>
  </si>
  <si>
    <t>CONDULETE DE ALUMÍNIO, TIPO T, PARA ELETRODUTO DE AÇO GALVANIZADO DN 20 MM (3/4''), APARENTE - FORNECIMENTO E INSTALAÇÃO. AF_11/2016_P</t>
  </si>
  <si>
    <t>CONDULETE DE ALUMÍNIO, TIPO T, PARA ELETRODUTO DE AÇO GALVANIZADO DN 25 MM (1''), APARENTE - FORNECIMENTO E INSTALAÇÃO. AF_11/2016_P</t>
  </si>
  <si>
    <t>CONDULETE DE ALUMÍNIO, TIPO T, PARA ELETRODUTO DE AÇO GALVANIZADO DN 32 MM (1 1/4''), APARENTE - FORNECIMENTO E INSTALAÇÃO. AF_11/2016_P</t>
  </si>
  <si>
    <t>CONDULETE DE ALUMÍNIO, TIPO X, PARA ELETRODUTO DE AÇO GALVANIZADO DN 20 MM (3/4''), APARENTE - FORNECIMENTO E INSTALAÇÃO. AF_11/2016_P</t>
  </si>
  <si>
    <t>CONDULETE DE ALUMÍNIO, TIPO X, PARA ELETRODUTO DE AÇO GALVANIZADO DN 25 MM (1''), APARENTE - FORNECIMENTO E INSTALAÇÃO. AF_11/2016_P</t>
  </si>
  <si>
    <t>CONDULETE DE ALUMÍNIO, TIPO X, PARA ELETRODUTO DE AÇO GALVANIZADO DN 32 MM (1 1/4''), APARENTE - FORNECIMENTO E INSTALAÇÃO. AF_11/2016_P</t>
  </si>
  <si>
    <t>CONDULETE DE PVC, TIPO B, PARA ELETRODUTO DE PVC SOLDÁVEL DN 20 MM (1/2''), APARENTE - FORNECIMENTO E INSTALAÇÃO. AF_11/2016</t>
  </si>
  <si>
    <t>CONDULETE DE PVC, TIPO B, PARA ELETRODUTO DE PVC SOLDÁVEL DN 25 MM (3/4''), APARENTE - FORNECIMENTO E INSTALAÇÃO. AF_11/2016</t>
  </si>
  <si>
    <t>CONDULETE DE PVC, TIPO B, PARA ELETRODUTO DE PVC SOLDÁVEL DN 32 MM (1''), APARENTE - FORNECIMENTO E INSTALAÇÃO. AF_11/2016</t>
  </si>
  <si>
    <t>CONDULETE DE PVC, TIPO LL, PARA ELETRODUTO DE PVC SOLDÁVEL DN 20 MM (1/2''), APARENTE - FORNECIMENTO E INSTALAÇÃO. AF_11/2016</t>
  </si>
  <si>
    <t>CONDULETE DE PVC, TIPO LL, PARA ELETRODUTO DE PVC SOLDÁVEL DN 25 MM (3/4''), APARENTE - FORNECIMENTO E INSTALAÇÃO. AF_11/2016</t>
  </si>
  <si>
    <t>CONDULETE DE PVC, TIPO LL, PARA ELETRODUTO DE PVC SOLDÁVEL DN 32 MM (1''), APARENTE - FORNECIMENTO E INSTALAÇÃO. AF_11/2016</t>
  </si>
  <si>
    <t>CONDULETE DE PVC, TIPO LB, PARA ELETRODUTO DE PVC SOLDÁVEL DN 20 MM (1/2''), APARENTE - FORNECIMENTO E INSTALAÇÃO. AF_11/2016</t>
  </si>
  <si>
    <t>CONDULETE DE PVC, TIPO LB, PARA ELETRODUTO DE PVC SOLDÁVEL DN 25 MM (3/4''), APARENTE - FORNECIMENTO E INSTALAÇÃO. AF_11/2016</t>
  </si>
  <si>
    <t>CONDULETE DE PVC, TIPO LB, PARA ELETRODUTO DE PVC SOLDÁVEL DN 32 MM (1''), APARENTE - FORNECIMENTO E INSTALAÇÃO. AF_11/2016</t>
  </si>
  <si>
    <t>CONDULETE DE PVC, TIPO TB, PARA ELETRODUTO DE PVC SOLDÁVEL DN 20 MM (1/2''), APARENTE - FORNECIMENTO E INSTALAÇÃO. AF_11/2016</t>
  </si>
  <si>
    <t>CONDULETE DE PVC, TIPO TB, PARA ELETRODUTO DE PVC SOLDÁVEL DN 25 MM (3/4''), APARENTE - FORNECIMENTO E INSTALAÇÃO. AF_11/2016</t>
  </si>
  <si>
    <t>CONDULETE DE PVC, TIPO TB, PARA ELETRODUTO DE PVC SOLDÁVEL DN 32 MM (1''), APARENTE - FORNECIMENTO E INSTALAÇÃO. AF_11/2016</t>
  </si>
  <si>
    <t>CONDULETE DE PVC, TIPO X, PARA ELETRODUTO DE PVC SOLDÁVEL DN 20 MM (1/2''), APARENTE - FORNECIMENTO E INSTALAÇÃO. AF_11/2016</t>
  </si>
  <si>
    <t>CONDULETE DE PVC, TIPO X, PARA ELETRODUTO DE PVC SOLDÁVEL DN 25 MM (3/4''), APARENTE - FORNECIMENTO E INSTALAÇÃO. AF_11/2016</t>
  </si>
  <si>
    <t>CONDULETE DE PVC, TIPO X, PARA ELETRODUTO DE PVC SOLDÁVEL DN 32 MM (1''), APARENTE - FORNECIMENTO E INSTALAÇÃO. AF_11/2016</t>
  </si>
  <si>
    <t>CAIXA OCTOGONAL 4" X 4", PVC, INSTALADA EM LAJE - FORNECIMENTO E INSTALAÇÃO. AF_12/2015</t>
  </si>
  <si>
    <t>CAIXA OCTOGONAL 3" X 3", PVC, INSTALADA EM LAJE - FORNECIMENTO E INSTALAÇÃO. AF_12/2015</t>
  </si>
  <si>
    <t>CAIXA RETANGULAR 4" X 2" ALTA (2,00 M DO PISO), PVC, INSTALADA EM PAREDE - FORNECIMENTO E INSTALAÇÃO. AF_12/2015</t>
  </si>
  <si>
    <t>CAIXA RETANGULAR 4" X 2" MÉDIA (1,30 M DO PISO), PVC, INSTALADA EM PAREDE - FORNECIMENTO E INSTALAÇÃO. AF_12/2015</t>
  </si>
  <si>
    <t>CAIXA RETANGULAR 4" X 2" BAIXA (0,30 M DO PISO), PVC, INSTALADA EM PAREDE - FORNECIMENTO E INSTALAÇÃO. AF_12/2015</t>
  </si>
  <si>
    <t>CAIXA RETANGULAR 4" X 4" ALTA (2,00 M DO PISO), PVC, INSTALADA EM PAREDE - FORNECIMENTO E INSTALAÇÃO. AF_12/2015</t>
  </si>
  <si>
    <t>CAIXA RETANGULAR 4" X 4" MÉDIA (1,30 M DO PISO), PVC, INSTALADA EM PAREDE - FORNECIMENTO E INSTALAÇÃO. AF_12/2015</t>
  </si>
  <si>
    <t>CAIXA RETANGULAR 4" X 4" BAIXA (0,30 M DO PISO), PVC, INSTALADA EM PAREDE - FORNECIMENTO E INSTALAÇÃO. AF_12/2015</t>
  </si>
  <si>
    <t>CAIXA OCTOGONAL 4" X 4", METÁLICA, INSTALADA EM LAJE - FORNECIMENTO E INSTALAÇÃO. AF_12/2015</t>
  </si>
  <si>
    <t>CAIXA SEXTAVADA 3" X 3", METÁLICA, INSTALADA EM LAJE - FORNECIMENTO E INSTALAÇÃO. AF_12/2015</t>
  </si>
  <si>
    <t>CAIXA RETANGULAR 4" X 2" ALTA (2,00 M DO PISO), METÁLICA, INSTALADA EM PAREDE - FORNECIMENTO E INSTALAÇÃO. AF_12/2015</t>
  </si>
  <si>
    <t>CAIXA RETANGULAR 4" X 2" MÉDIA (1,30 M DO PISO), METÁLICA, INSTALADA EM PAREDE - FORNECIMENTO E INSTALAÇÃO. AF_12/2015</t>
  </si>
  <si>
    <t>CAIXA RETANGULAR 4" X 2" BAIXA (0,30 M DO PISO), METÁLICA, INSTALADA EM PAREDE - FORNECIMENTO E INSTALAÇÃO. AF_12/2015</t>
  </si>
  <si>
    <t>CAIXA RETANGULAR 4" X 4" ALTA (2,00 M DO PISO), METÁLICA, INSTALADA EM PAREDE - FORNECIMENTO E INSTALAÇÃO. AF_12/2015</t>
  </si>
  <si>
    <t>CAIXA RETANGULAR 4" X 4" MÉDIA (1,30 M DO PISO), METÁLICA, INSTALADA EM PAREDE - FORNECIMENTO E INSTALAÇÃO. AF_12/2015</t>
  </si>
  <si>
    <t>CAIXA RETANGULAR 4" X 4" BAIXA (0,30 M DO PISO), METÁLICA, INSTALADA EM PAREDE - FORNECIMENTO E INSTALAÇÃO. AF_12/2015</t>
  </si>
  <si>
    <t>CAIXA ENTERRADA ELÉTRICA RETANGULAR, EM ALVENARIA COM TIJOLOS CERÂMICOS MACIÇOS, FUNDO COM BRITA, DIMENSÕES INTERNAS: 0,3X0,3X0,3 M. AF_12/2020</t>
  </si>
  <si>
    <t>CAIXA ENTERRADA ELÉTRICA RETANGULAR, EM ALVENARIA COM TIJOLOS CERÂMICOS MACIÇOS, FUNDO COM BRITA, DIMENSÕES INTERNAS: 0,4X0,4X0,4 M. AF_12/2020</t>
  </si>
  <si>
    <t>CAIXA ENTERRADA ELÉTRICA RETANGULAR, EM ALVENARIA COM TIJOLOS CERÂMICOS MACIÇOS, FUNDO COM BRITA, DIMENSÕES INTERNAS: 0,6X0,6X0,6 M. AF_12/2020</t>
  </si>
  <si>
    <t>CAIXA ENTERRADA ELÉTRICA RETANGULAR, EM ALVENARIA COM TIJOLOS CERÂMICOS MACIÇOS, FUNDO COM BRITA, DIMENSÕES INTERNAS: 0,8X0,8X0,6 M. AF_12/2020</t>
  </si>
  <si>
    <t>CAIXA ENTERRADA ELÉTRICA RETANGULAR, EM ALVENARIA COM TIJOLOS CERÂMICOS MACIÇOS, FUNDO COM BRITA, DIMENSÕES INTERNAS: 1X1X0,6 M. AF_12/2020</t>
  </si>
  <si>
    <t>CAIXA COM GRELHA SIMPLES RETANGULAR, EM CONCRETO PRÉ-MOLDADO, DIMENSÕES INTERNAS: 0,6X1,0X1,0 M. AF_12/2020</t>
  </si>
  <si>
    <t>CAIXA COM GRELHA SIMPLES RETANGULAR, EM ALVENARIA COM TIJOLOS CERÂMICOS MACIÇOS, DIMENSÕES INTERNAS: 0,5X1X1 M. AF_12/2020</t>
  </si>
  <si>
    <t>CAIXA COM GRELHA DUPLA RETANGULAR, EM ALVENARIA COM TIJOLOS CERÂMICOS MACIÇOS, DIMENSÕES INTERNAS: 0,5X2,2X1 M. AF_12/2020</t>
  </si>
  <si>
    <t>CAIXA COM GRELHA SIMPLES RETANGULAR, EM ALVENARIA COM BLOCOS DE CONCRETO, DIMENSÕES INTERNAS: 0,5X1X1 M. AF_12/2020</t>
  </si>
  <si>
    <t>CAIXA COM GRELHA DUPLA RETANGULAR, EM ALVENARIA COM BLOCOS DE CONCRETO, DIMENSÕES INTERNAS: 0,5X2,2X1 M. AF_12/2020</t>
  </si>
  <si>
    <t>CAIXA ENTERRADA ELÉTRICA RETANGULAR, EM ALVENARIA COM BLOCOS DE CONCRETO, FUNDO COM BRITA, DIMENSÕES INTERNAS: 0,4X0,4X0,4 M. AF_12/2020</t>
  </si>
  <si>
    <t>CAIXA ENTERRADA ELÉTRICA RETANGULAR, EM ALVENARIA COM BLOCOS DE CONCRETO, FUNDO COM BRITA, DIMENSÕES INTERNAS: 0,6X0,6X0,6 M. AF_12/2020</t>
  </si>
  <si>
    <t>CAIXA ENTERRADA ELÉTRICA RETANGULAR, EM ALVENARIA COM BLOCOS DE CONCRETO, FUNDO COM BRITA, DIMENSÕES INTERNAS: 0,8X0,8X0,6 M. AF_12/2020</t>
  </si>
  <si>
    <t>CAIXA ENTERRADA ELÉTRICA RETANGULAR, EM ALVENARIA COM BLOCOS DE CONCRETO, FUNDO COM BRITA, DIMENSÕES INTERNAS: 1X1X0,6 M. AF_12/2020</t>
  </si>
  <si>
    <t>CAIXA ENTERRADA ELÉTRICA RETANGULAR, EM CONCRETO PRÉ-MOLDADO, FUNDO COM BRITA, DIMENSÕES INTERNAS: 0,3X0,3X0,3 M. AF_12/2020</t>
  </si>
  <si>
    <t>CAIXA ENTERRADA ELÉTRICA RETANGULAR, EM CONCRETO PRÉ-MOLDADO, FUNDO COM BRITA, DIMENSÕES INTERNAS: 0,4X0,4X0,4 M. AF_12/2020</t>
  </si>
  <si>
    <t>CAIXA ENTERRADA ELÉTRICA RETANGULAR, EM CONCRETO PRÉ-MOLDADO, FUNDO COM BRITA, DIMENSÕES INTERNAS: 0,6X0,6X0,5 M. AF_12/2020</t>
  </si>
  <si>
    <t>CAIXA ENTERRADA ELÉTRICA RETANGULAR, EM CONCRETO PRÉ-MOLDADO, FUNDO COM BRITA, DIMENSÕES INTERNAS: 0,8X0,8X0,5 M. AF_12/2020</t>
  </si>
  <si>
    <t>CAIXA ENTERRADA ELÉTRICA RETANGULAR, EM CONCRETO PRÉ-MOLDADO, FUNDO COM BRITA, DIMENSÕES INTERNAS: 1X1X0,5 M. AF_12/2020</t>
  </si>
  <si>
    <t>SUPORTE PARAFUSADO COM PLACA DE ENCAIXE 4" X 2" ALTO (2,00 M DO PISO) PARA PONTO ELÉTRICO - FORNECIMENTO E INSTALAÇÃO. AF_12/2015</t>
  </si>
  <si>
    <t>SUPORTE PARAFUSADO COM PLACA DE ENCAIXE 4" X 2" MÉDIO (1,30 M DO PISO) PARA PONTO ELÉTRICO - FORNECIMENTO E INSTALAÇÃO. AF_12/2015</t>
  </si>
  <si>
    <t>SUPORTE PARAFUSADO COM PLACA DE ENCAIXE 4" X 2" BAIXO (0,30 M DO PISO) PARA PONTO ELÉTRICO - FORNECIMENTO E INSTALAÇÃO. AF_12/2015</t>
  </si>
  <si>
    <t>SUPORTE PARAFUSADO COM PLACA DE ENCAIXE 4" X 4" ALTO (2,00 M DO PISO) PARA PONTO ELÉTRICO - FORNECIMENTO E INSTALAÇÃO. AF_12/2015</t>
  </si>
  <si>
    <t>SUPORTE PARAFUSADO COM PLACA DE ENCAIXE 4" X 4" MÉDIO (1,30 M DO PISO) PARA PONTO ELÉTRICO - FORNECIMENTO E INSTALAÇÃO. AF_12/2015</t>
  </si>
  <si>
    <t>SUPORTE PARAFUSADO COM PLACA DE ENCAIXE 4" X 4" BAIXO (0,30 M DO PISO) PARA PONTO ELÉTRICO - FORNECIMENTO E INSTALAÇÃO. AF_12/2015</t>
  </si>
  <si>
    <t>QUADRO DE MEDIÇÃO GERAL DE ENERGIA PARA 1 MEDIDOR DE SOBREPOR - FORNECIMENTO E INSTALAÇÃO. AF_10/2020</t>
  </si>
  <si>
    <t>QUADRO DE MEDIÇÃO GERAL DE ENERGIA PARA BARRAMENTO BLINDADO COM 4 MEDIDORES - FORNECIMENTO E INSTALAÇÃO. AF_10/2020</t>
  </si>
  <si>
    <t>QUADRO DE MEDIÇÃO GERAL DE ENERGIA COM 8 MEDIDORES - FORNECIMENTO E INSTALAÇÃO. AF_10/2020</t>
  </si>
  <si>
    <t>QUADRO DE MEDIÇÃO GERAL DE ENERGIA COM 12 MEDIDORES - FORNECIMENTO E INSTALAÇÃO. AF_10/2020</t>
  </si>
  <si>
    <t>QUADRO DE MEDIÇÃO GERAL DE ENERGIA COM 16 MEDIDORES - FORNECIMENTO E INSTALAÇÃO. AF_10/2020</t>
  </si>
  <si>
    <t>QUADRO DE DISTRIBUIÇÃO DE ENERGIA EM CHAPA DE AÇO GALVANIZADO, DE EMBUTIR, COM BARRAMENTO TRIFÁSICO, PARA 12 DISJUNTORES DIN 100A - FORNECIMENTO E INSTALAÇÃO. AF_10/2020</t>
  </si>
  <si>
    <t>QUADRO DE DISTRIBUIÇÃO DE ENERGIA EM PVC, DE EMBUTIR, SEM BARRAMENTO, PARA 6 DISJUNTORES - FORNECIMENTO E INSTALAÇÃO. AF_10/2020</t>
  </si>
  <si>
    <t>QUADRO DE DISTRIBUIÇÃO DE ENERGIA EM PVC, DE EMBUTIR, SEM BARRAMENTO, PARA 3 DISJUNTORES - FORNECIMENTO E INSTALAÇÃO. AF_10/2020</t>
  </si>
  <si>
    <t>QUADRO DE DISTRIBUIÇÃO DE ENERGIA EM CHAPA DE AÇO GALVANIZADO, DE SOBREPOR, COM BARRAMENTO TRIFÁSICO, PARA 18 DISJUNTORES DIN 100A - FORNECIMENTO E INSTALAÇÃO. AF_10/2020</t>
  </si>
  <si>
    <t>QUADRO DE DISTRIBUIÇÃO DE ENERGIA EM CHAPA DE AÇO GALVANIZADO, DE EMBUTIR, COM BARRAMENTO TRIFÁSICO, PARA 24 DISJUNTORES DIN 100A - FORNECIMENTO E INSTALAÇÃO. AF_10/2020</t>
  </si>
  <si>
    <t>QUADRO DE DISTRIBUIÇÃO DE ENERGIA EM CHAPA DE AÇO GALVANIZADO, DE EMBUTIR, COM BARRAMENTO TRIFÁSICO, PARA 30 DISJUNTORES DIN 150A - FORNECIMENTO E INSTALAÇÃO. AF_10/2020</t>
  </si>
  <si>
    <t>QUADRO DE DISTRIBUIÇÃO DE ENERGIA EM CHAPA DE AÇO GALVANIZADO, DE EMBUTIR, COM BARRAMENTO TRIFÁSICO, PARA 40 DISJUNTORES DIN 100A - FORNECIMENTO E INSTALAÇÃO. AF_10/2020</t>
  </si>
  <si>
    <t>QUADRO DE DISTRIBUIÇÃO DE ENERGIA EM CHAPA DE AÇO GALVANIZADO, DE EMBUTIR, COM BARRAMENTO TRIFÁSICO, PARA 30 DISJUNTORES DIN 225A - FORNECIMENTO E INSTALAÇÃO. AF_10/2020</t>
  </si>
  <si>
    <t>QUADRO DE DISTRIBUIÇÃO DE ENERGIA EM CHAPA DE AÇO GALVANIZADO, DE EMBUTIR, COM BARRAMENTO TRIFÁSICO, PARA 18 DISJUNTORES DIN 100A - FORNECIMENTO E INSTALAÇÃO. AF_10/2020</t>
  </si>
  <si>
    <t>CONTATOR TRIPOLAR I NOMINAL 12A - FORNECIMENTO E INSTALAÇÃO. AF_10/2020</t>
  </si>
  <si>
    <t>CONTATOR TRIPOLAR I NOMINAL 22A - FORNECIMENTO E INSTALAÇÃO. AF_10/2020</t>
  </si>
  <si>
    <t>CONTATOR TRIPOLAR I NOMINAL 38A - FORNECIMENTO E INSTALAÇÃO. AF_10/2020</t>
  </si>
  <si>
    <t>CONTATOR TRIPOLAR I NOMIMAL 95A - FORNECIMENTO E INSTALAÇÃO. AF_10/2020</t>
  </si>
  <si>
    <t>DISJUNTOR MONOPOLAR TIPO DIN, CORRENTE NOMINAL DE 10A - FORNECIMENTO E INSTALAÇÃO. AF_10/2020</t>
  </si>
  <si>
    <t>DISJUNTOR MONOPOLAR TIPO DIN, CORRENTE NOMINAL DE 16A - FORNECIMENTO E INSTALAÇÃO. AF_10/2020</t>
  </si>
  <si>
    <t>DISJUNTOR MONOPOLAR TIPO DIN, CORRENTE NOMINAL DE 20A - FORNECIMENTO E INSTALAÇÃO. AF_10/2020</t>
  </si>
  <si>
    <t>DISJUNTOR MONOPOLAR TIPO DIN, CORRENTE NOMINAL DE 25A - FORNECIMENTO E INSTALAÇÃO. AF_10/2020</t>
  </si>
  <si>
    <t>DISJUNTOR MONOPOLAR TIPO DIN, CORRENTE NOMINAL DE 32A - FORNECIMENTO E INSTALAÇÃO. AF_10/2020</t>
  </si>
  <si>
    <t>DISJUNTOR MONOPOLAR TIPO DIN, CORRENTE NOMINAL DE 40A - FORNECIMENTO E INSTALAÇÃO. AF_10/2020</t>
  </si>
  <si>
    <t>DISJUNTOR MONOPOLAR TIPO DIN, CORRENTE NOMINAL DE 50A - FORNECIMENTO E INSTALAÇÃO. AF_10/2020</t>
  </si>
  <si>
    <t>DISJUNTOR MONOPOLAR TIPO NEMA, CORRENTE NOMINAL DE 10 ATÉ 30A - FORNECIMENTO E INSTALAÇÃO. AF_10/2020</t>
  </si>
  <si>
    <t>DISJUNTOR MONOPOLAR TIPO NEMA, CORRENTE NOMINAL DE 35 ATÉ 50A - FORNECIMENTO E INSTALAÇÃO. AF_10/2020</t>
  </si>
  <si>
    <t>DISJUNTOR BIPOLAR TIPO DIN, CORRENTE NOMINAL DE 10A - FORNECIMENTO E INSTALAÇÃO. AF_10/2020</t>
  </si>
  <si>
    <t>DISJUNTOR BIPOLAR TIPO DIN, CORRENTE NOMINAL DE 16A - FORNECIMENTO E INSTALAÇÃO. AF_10/2020</t>
  </si>
  <si>
    <t>DISJUNTOR BIPOLAR TIPO DIN, CORRENTE NOMINAL DE 20A - FORNECIMENTO E INSTALAÇÃO. AF_10/2020</t>
  </si>
  <si>
    <t>DISJUNTOR BIPOLAR TIPO DIN, CORRENTE NOMINAL DE 25A - FORNECIMENTO E INSTALAÇÃO. AF_10/2020</t>
  </si>
  <si>
    <t>DISJUNTOR BIPOLAR TIPO DIN, CORRENTE NOMINAL DE 32A - FORNECIMENTO E INSTALAÇÃO. AF_10/2020</t>
  </si>
  <si>
    <t>DISJUNTOR BIPOLAR TIPO DIN, CORRENTE NOMINAL DE 40A - FORNECIMENTO E INSTALAÇÃO. AF_10/2020</t>
  </si>
  <si>
    <t>DISJUNTOR BIPOLAR TIPO DIN, CORRENTE NOMINAL DE 50A - FORNECIMENTO E INSTALAÇÃO. AF_10/2020</t>
  </si>
  <si>
    <t>DISJUNTOR BIPOLAR TIPO NEMA, CORRENTE NOMINAL DE 10 ATÉ 50A - FORNECIMENTO E INSTALAÇÃO. AF_10/2020</t>
  </si>
  <si>
    <t>DISJUNTOR TRIPOLAR TIPO DIN, CORRENTE NOMINAL DE 10A - FORNECIMENTO E INSTALAÇÃO. AF_10/2020</t>
  </si>
  <si>
    <t>DISJUNTOR TRIPOLAR TIPO DIN, CORRENTE NOMINAL DE 16A - FORNECIMENTO E INSTALAÇÃO. AF_10/2020</t>
  </si>
  <si>
    <t>DISJUNTOR TRIPOLAR TIPO DIN, CORRENTE NOMINAL DE 20A - FORNECIMENTO E INSTALAÇÃO. AF_10/2020</t>
  </si>
  <si>
    <t>DISJUNTOR TRIPOLAR TIPO DIN, CORRENTE NOMINAL DE 25A - FORNECIMENTO E INSTALAÇÃO. AF_10/2020</t>
  </si>
  <si>
    <t>DISJUNTOR TRIPOLAR TIPO DIN, CORRENTE NOMINAL DE 32A - FORNECIMENTO E INSTALAÇÃO. AF_10/2020</t>
  </si>
  <si>
    <t>DISJUNTOR TRIPOLAR TIPO DIN, CORRENTE NOMINAL DE 40A - FORNECIMENTO E INSTALAÇÃO. AF_10/2020</t>
  </si>
  <si>
    <t>DISJUNTOR TRIPOLAR TIPO DIN, CORRENTE NOMINAL DE 50A - FORNECIMENTO E INSTALAÇÃO. AF_10/2020</t>
  </si>
  <si>
    <t>DISJUNTOR TRIPOLAR TIPO NEMA, CORRENTE NOMINAL DE 10 ATÉ 50A - FORNECIMENTO E INSTALAÇÃO. AF_10/2020</t>
  </si>
  <si>
    <t>DISJUNTOR TRIPOLAR TIPO NEMA, CORRENTE NOMINAL DE 60 ATÉ 100A - FORNECIMENTO E INSTALAÇÃO. AF_10/2020</t>
  </si>
  <si>
    <t>ABRAÇADEIRA DE FIXAÇÃO DE BRAÇOS DE LUMINÁRIAS DE 2" - FORNECIMENTO E INSTALAÇÃO. AF_08/2020</t>
  </si>
  <si>
    <t>ABRAÇADEIRA DE FIXAÇÃO DE BRAÇOS DE LUMINÁRIAS DE 3" - FORNECIMENTO E INSTALAÇÃO. AF_08/2020</t>
  </si>
  <si>
    <t>ABRAÇADEIRA DE FIXAÇÃO DE BRAÇOS DE LUMINÁRIAS DE 4" - FORNECIMENTO E INSTALAÇÃO. AF_08/2020</t>
  </si>
  <si>
    <t>DISJUNTOR TERMOMAGNÉTICO TRIPOLAR , CORRENTE NOMINAL DE 125A - FORNECIMENTO E INSTALAÇÃO. AF_10/2020</t>
  </si>
  <si>
    <t>DISJUNTOR TERMOMAGNÉTICO TRIPOLAR , CORRENTE NOMINAL DE 200A - FORNECIMENTO E INSTALAÇÃO. AF_10/2020</t>
  </si>
  <si>
    <t>DISJUNTOR TERMOMAGNÉTICO TRIPOLAR , CORRENTE NOMINAL DE 250A - FORNECIMENTO E INSTALAÇÃO. AF_10/2020</t>
  </si>
  <si>
    <t>DISJUNTOR TERMOMAGNÉTICO TRIPOLAR , CORRENTE NOMINAL DE 400A - FORNECIMENTO E INSTALAÇÃO. AF_10/2020</t>
  </si>
  <si>
    <t>DISJUNTOR TERMOMAGNÉTICO TRIPOLAR , CORRENTE NOMINAL DE 600A - FORNECIMENTO E INSTALAÇÃO. AF_10/2020</t>
  </si>
  <si>
    <t>DISJUNTOR BAIXA TENSÃO TRIPOLAR A SECO  800A/600V - FORNECIMENTO E INSTALAÇÃO. AF_10/2020</t>
  </si>
  <si>
    <t>INTERRUPTOR SIMPLES (1 MÓDULO), 10A/250V, SEM SUPORTE E SEM PLACA - FORNECIMENTO E INSTALAÇÃO. AF_12/2015</t>
  </si>
  <si>
    <t>INTERRUPTOR SIMPLES (1 MÓDULO), 10A/250V, INCLUINDO SUPORTE E PLACA - FORNECIMENTO E INSTALAÇÃO. AF_12/2015</t>
  </si>
  <si>
    <t>INTERRUPTOR SIMPLES (1 MÓDULO) COM INTERRUPTOR PARALELO (1 MÓDULO), 10A/250V, SEM SUPORTE E SEM PLACA - FORNECIMENTO E INSTALAÇÃO. AF_12/2015</t>
  </si>
  <si>
    <t>INTERRUPTOR SIMPLES (1 MÓDULO) COM INTERRUPTOR PARALELO (1 MÓDULO), 10A/250V, INCLUINDO SUPORTE E PLACA - FORNECIMENTO E INSTALAÇÃO. AF_12/2015</t>
  </si>
  <si>
    <t>INTERRUPTOR SIMPLES (2 MÓDULOS), 10A/250V, SEM SUPORTE E SEM PLACA - FORNECIMENTO E INSTALAÇÃO. AF_12/2015</t>
  </si>
  <si>
    <t>INTERRUPTOR SIMPLES (2 MÓDULOS), 10A/250V, INCLUINDO SUPORTE E PLACA - FORNECIMENTO E INSTALAÇÃO. AF_12/2015</t>
  </si>
  <si>
    <t>INTERRUPTOR SIMPLES (1 MÓDULO) COM INTERRUPTOR PARALELO (2 MÓDULOS), 10A/250V, SEM SUPORTE E SEM PLACA - FORNECIMENTO E INSTALAÇÃO. AF_12/2015</t>
  </si>
  <si>
    <t>INTERRUPTOR SIMPLES (1 MÓDULO) COM INTERRUPTOR PARALELO (2 MÓDULOS), 10A/250V, INCLUINDO SUPORTE E PLACA - FORNECIMENTO E INSTALAÇÃO. AF_12/2015</t>
  </si>
  <si>
    <t>INTERRUPTOR SIMPLES (2 MÓDULOS) COM INTERRUPTOR PARALELO (1 MÓDULO), 10A/250V, SEM SUPORTE E SEM PLACA - FORNECIMENTO E INSTALAÇÃO. AF_12/2015</t>
  </si>
  <si>
    <t>INTERRUPTOR SIMPLES (2 MÓDULOS) COM INTERRUPTOR PARALELO (1 MÓDULO), 10A/250V, INCLUINDO SUPORTE E PLACA - FORNECIMENTO E INSTALAÇÃO. AF_12/2015</t>
  </si>
  <si>
    <t>INTERRUPTOR SIMPLES (3 MÓDULOS), 10A/250V, SEM SUPORTE E SEM PLACA - FORNECIMENTO E INSTALAÇÃO. AF_12/2015</t>
  </si>
  <si>
    <t>INTERRUPTOR SIMPLES (3 MÓDULOS), 10A/250V, INCLUINDO SUPORTE E PLACA - FORNECIMENTO E INSTALAÇÃO. AF_12/2015</t>
  </si>
  <si>
    <t>INTERRUPTOR SIMPLES (3 MÓDULOS) COM INTERRUPTOR PARALELO (1 MÓDULO), 10A/250V, SEM SUPORTE E SEM PLACA - FORNECIMENTO E INSTALAÇÃO. AF_12/2015</t>
  </si>
  <si>
    <t>INTERRUPTOR SIMPLES (3 MÓDULOS) COM INTERRUPTOR PARALELO (1 MÓDULO), 10A/250V, INCLUINDO SUPORTE E PLACA - FORNECIMENTO E INSTALAÇÃO. AF_12/2015</t>
  </si>
  <si>
    <t>INTERRUPTOR SIMPLES (2 MÓDULOS) COM INTERRUPTOR PARALELO (2 MÓDULOS), 10A/250V, SEM SUPORTE E SEM PLACA - FORNECIMENTO E INSTALAÇÃO. AF_12/2015</t>
  </si>
  <si>
    <t>INTERRUPTOR SIMPLES (2 MÓDULOS) COM INTERRUPTOR PARALELO (2 MÓDULOS), 10A/250V, INCLUINDO SUPORTE E PLACA - FORNECIMENTO E INSTALAÇÃO. AF_12/2015</t>
  </si>
  <si>
    <t>INTERRUPTOR SIMPLES (4 MÓDULOS), 10A/250V, SEM SUPORTE E SEM PLACA - FORNECIMENTO E INSTALAÇÃO. AF_12/2015</t>
  </si>
  <si>
    <t>INTERRUPTOR SIMPLES (4 MÓDULOS), 10A/250V, INCLUINDO SUPORTE E PLACA - FORNECIMENTO E INSTALAÇÃO. AF_12/2015</t>
  </si>
  <si>
    <t>INTERRUPTOR SIMPLES (6 MÓDULOS), 10A/250V, SEM SUPORTE E SEM PLACA - FORNECIMENTO E INSTALAÇÃO. AF_12/2015</t>
  </si>
  <si>
    <t>INTERRUPTOR SIMPLES (6 MÓDULOS), 10A/250V, INCLUINDO SUPORTE E PLACA - FORNECIMENTO E INSTALAÇÃO. AF_12/2015</t>
  </si>
  <si>
    <t>INTERRUPTOR SIMPLES (1 MÓDULO) COM 1 TOMADA DE EMBUTIR 2P+T 10 A,  SEM SUPORTE E SEM PLACA - FORNECIMENTO E INSTALAÇÃO. AF_12/2015</t>
  </si>
  <si>
    <t>INTERRUPTOR SIMPLES (1 MÓDULO) COM 1 TOMADA DE EMBUTIR 2P+T 10 A,  INCLUINDO SUPORTE E PLACA - FORNECIMENTO E INSTALAÇÃO. AF_12/2015</t>
  </si>
  <si>
    <t>INTERRUPTOR SIMPLES (1 MÓDULO) COM 2 TOMADAS DE EMBUTIR 2P+T 10 A,  SEM SUPORTE E SEM PLACA - FORNECIMENTO E INSTALAÇÃO. AF_12/2015</t>
  </si>
  <si>
    <t>INTERRUPTOR SIMPLES (1 MÓDULO) COM 2 TOMADAS DE EMBUTIR 2P+T 10 A,  INCLUINDO SUPORTE E PLACA - FORNECIMENTO E INSTALAÇÃO. AF_12/2015</t>
  </si>
  <si>
    <t>INTERRUPTOR SIMPLES (2 MÓDULOS) COM 1 TOMADA DE EMBUTIR 2P+T 10 A,  SEM SUPORTE E SEM PLACA - FORNECIMENTO E INSTALAÇÃO. AF_12/2015</t>
  </si>
  <si>
    <t>INTERRUPTOR SIMPLES (2 MÓDULOS) COM 1 TOMADA DE EMBUTIR 2P+T 10 A,  INCLUINDO SUPORTE E PLACA - FORNECIMENTO E INSTALAÇÃO. AF_12/2015</t>
  </si>
  <si>
    <t>INTERRUPTOR SIMPLES (1 MÓDULO), INTERRUPTOR PARALELO (1 MÓDULO) E 1 TOMADA DE EMBUTIR 2P+T 10 A,  SEM SUPORTE E SEM PLACA - FORNECIMENTO E INSTALAÇÃO. AF_12/2015</t>
  </si>
  <si>
    <t>INTERRUPTOR SIMPLES (1 MÓDULO), INTERRUPTOR PARALELO (1 MÓDULO) E 1 TOMADA DE EMBUTIR 2P+T 10 A,  INCLUINDO SUPORTE E PLACA - FORNECIMENTO E INSTALAÇÃO. AF_12/2015</t>
  </si>
  <si>
    <t>INTERRUPTOR PARALELO (1 MÓDULO), 10A/250V, SEM SUPORTE E SEM PLACA - FORNECIMENTO E INSTALAÇÃO. AF_12/2015</t>
  </si>
  <si>
    <t>INTERRUPTOR PARALELO (1 MÓDULO), 10A/250V, INCLUINDO SUPORTE E PLACA - FORNECIMENTO E INSTALAÇÃO. AF_12/2015</t>
  </si>
  <si>
    <t>INTERRUPTOR PARALELO (2 MÓDULOS), 10A/250V, SEM SUPORTE E SEM PLACA - FORNECIMENTO E INSTALAÇÃO. AF_12/2015</t>
  </si>
  <si>
    <t>INTERRUPTOR PARALELO (2 MÓDULOS), 10A/250V, INCLUINDO SUPORTE E PLACA - FORNECIMENTO E INSTALAÇÃO. AF_12/2015</t>
  </si>
  <si>
    <t>INTERRUPTOR PARALELO (3 MÓDULOS), 10A/250V, SEM SUPORTE E SEM PLACA - FORNECIMENTO E INSTALAÇÃO. AF_12/2015</t>
  </si>
  <si>
    <t>INTERRUPTOR PARALELO (3 MÓDULOS), 10A/250V, INCLUINDO SUPORTE E PLACA - FORNECIMENTO E INSTALAÇÃO. AF_12/2015</t>
  </si>
  <si>
    <t>INTERRUPTOR PARALELO (1 MÓDULO) COM 1 TOMADA DE EMBUTIR 2P+T 10 A,  SEM SUPORTE E SEM PLACA - FORNECIMENTO E INSTALAÇÃO. AF_12/2015</t>
  </si>
  <si>
    <t>INTERRUPTOR PARALELO (1 MÓDULO) COM 1 TOMADA DE EMBUTIR 2P+T 10 A,  INCLUINDO SUPORTE E PLACA - FORNECIMENTO E INSTALAÇÃO. AF_12/2015</t>
  </si>
  <si>
    <t>INTERRUPTOR PARALELO (1 MÓDULO) COM 2 TOMADAS DE EMBUTIR 2P+T 10 A,  SEM SUPORTE E SEM PLACA - FORNECIMENTO E INSTALAÇÃO. AF_12/2015</t>
  </si>
  <si>
    <t>INTERRUPTOR PARALELO (1 MÓDULO) COM 2 TOMADAS DE EMBUTIR 2P+T 10 A,  INCLUINDO SUPORTE E PLACA - FORNECIMENTO E INSTALAÇÃO. AF_12/2015</t>
  </si>
  <si>
    <t>INTERRUPTOR PARALELO (2 MÓDULOS) COM 1 TOMADA DE EMBUTIR 2P+T 10 A,  SEM SUPORTE E SEM PLACA - FORNECIMENTO E INSTALAÇÃO. AF_12/2015</t>
  </si>
  <si>
    <t>INTERRUPTOR PARALELO (2 MÓDULOS) COM 1 TOMADA DE EMBUTIR 2P+T 10 A,  INCLUINDO SUPORTE E PLACA - FORNECIMENTO E INSTALAÇÃO. AF_12/2015</t>
  </si>
  <si>
    <t>INTERRUPTOR INTERMEDIÁRIO (1 MÓDULO), 10A/250V, SEM SUPORTE E SEM PLACA - FORNECIMENTO E INSTALAÇÃO. AF_09/2017</t>
  </si>
  <si>
    <t>INTERRUPTOR INTERMEDIÁRIO (1 MÓDULO), 10A/250V, INCLUINDO SUPORTE E PLACA - FORNECIMENTO E INSTALAÇÃO. AF_09/2017</t>
  </si>
  <si>
    <t>INTERRUPTOR BIPOLAR (1 MÓDULO), 10A/250V, SEM SUPORTE E SEM PLACA - FORNECIMENTO E INSTALAÇÃO. AF_09/2017</t>
  </si>
  <si>
    <t>INTERRUPTOR BIPOLAR (1 MÓDULO), 10A/250V, INCLUINDO SUPORTE E PLACA - FORNECIMENTO E INSTALAÇÃO. AF_09/2017</t>
  </si>
  <si>
    <t>DIMMER ROTATIVO (1 MÓDULO), 220V/600W, SEM SUPORTE E SEM PLACA - FORNECIMENTO E INSTALAÇÃO. AF_09/2017</t>
  </si>
  <si>
    <t>DIMMER ROTATIVO (1 MÓDULO), 220V/600W, INCLUINDO SUPORTE E PLACA - FORNECIMENTO E INSTALAÇÃO. AF_09/2017</t>
  </si>
  <si>
    <t>INTERRUPTOR PULSADOR CAMPAINHA (1 MÓDULO), 10A/250V, SEM SUPORTE E SEM PLACA - FORNECIMENTO E INSTALAÇÃO. AF_09/2017</t>
  </si>
  <si>
    <t>INTERRUPTOR PULSADOR CAMPAINHA (1 MÓDULO), 10A/250V, INCLUINDO SUPORTE E PLACA - FORNECIMENTO E INSTALAÇÃO. AF_09/2017</t>
  </si>
  <si>
    <t>CAMPAINHA CIGARRA (1 MÓDULO), 10A/250V, SEM SUPORTE E SEM PLACA - FORNECIMENTO E INSTALAÇÃO. AF_09/2017</t>
  </si>
  <si>
    <t>CAMPAINHA CIGARRA (1 MÓDULO), 10A/250V, INCLUINDO SUPORTE E PLACA - FORNECIMENTO E INSTALAÇÃO. AF_09/2017</t>
  </si>
  <si>
    <t>INTERRUPTOR PULSADOR MINUTERIA (1 MÓDULO), 10A/250V, SEM SUPORTE E SEM PLACA - FORNECIMENTO E INSTALAÇÃO. AF_09/2017</t>
  </si>
  <si>
    <t>INTERRUPTOR PULSADOR MINUTERIA (1 MÓDULO), 10A/250V, INCLUINDO SUPORTE E PLACA - FORNECIMENTO E INSTALAÇÃO. AF_09/2017</t>
  </si>
  <si>
    <t>TOMADA ALTA DE EMBUTIR (1 MÓDULO), 2P+T 10 A, SEM SUPORTE E SEM PLACA - FORNECIMENTO E INSTALAÇÃO. AF_12/2015</t>
  </si>
  <si>
    <t>TOMADA ALTA DE EMBUTIR (1 MÓDULO), 2P+T 20 A, SEM SUPORTE E SEM PLACA - FORNECIMENTO E INSTALAÇÃO. AF_12/2015</t>
  </si>
  <si>
    <t>TOMADA ALTA DE EMBUTIR (1 MÓDULO), 2P+T 10 A, INCLUINDO SUPORTE E PLACA - FORNECIMENTO E INSTALAÇÃO. AF_12/2015</t>
  </si>
  <si>
    <t>TOMADA ALTA DE EMBUTIR (1 MÓDULO), 2P+T 20 A, INCLUINDO SUPORTE E PLACA - FORNECIMENTO E INSTALAÇÃO. AF_12/2015</t>
  </si>
  <si>
    <t>TOMADA MÉDIA DE EMBUTIR (1 MÓDULO), 2P+T 10 A, SEM SUPORTE E SEM PLACA - FORNECIMENTO E INSTALAÇÃO. AF_12/2015</t>
  </si>
  <si>
    <t>TOMADA MÉDIA DE EMBUTIR (1 MÓDULO), 2P+T 20 A, SEM SUPORTE E SEM PLACA - FORNECIMENTO E INSTALAÇÃO. AF_12/2015</t>
  </si>
  <si>
    <t>TOMADA MÉDIA DE EMBUTIR (1 MÓDULO), 2P+T 10 A, INCLUINDO SUPORTE E PLACA - FORNECIMENTO E INSTALAÇÃO. AF_12/2015</t>
  </si>
  <si>
    <t>TOMADA MÉDIA DE EMBUTIR (1 MÓDULO), 2P+T 20 A, INCLUINDO SUPORTE E PLACA - FORNECIMENTO E INSTALAÇÃO. AF_12/2015</t>
  </si>
  <si>
    <t>TOMADA BAIXA DE EMBUTIR (1 MÓDULO), 2P+T 10 A, SEM SUPORTE E SEM PLACA - FORNECIMENTO E INSTALAÇÃO. AF_12/2015</t>
  </si>
  <si>
    <t>TOMADA BAIXA DE EMBUTIR (1 MÓDULO), 2P+T 20 A, SEM SUPORTE E SEM PLACA - FORNECIMENTO E INSTALAÇÃO. AF_12/2015</t>
  </si>
  <si>
    <t>TOMADA BAIXA DE EMBUTIR (1 MÓDULO), 2P+T 10 A, INCLUINDO SUPORTE E PLACA - FORNECIMENTO E INSTALAÇÃO. AF_12/2015</t>
  </si>
  <si>
    <t>TOMADA BAIXA DE EMBUTIR (1 MÓDULO), 2P+T 20 A, INCLUINDO SUPORTE E PLACA - FORNECIMENTO E INSTALAÇÃO. AF_12/2015</t>
  </si>
  <si>
    <t>TOMADA MÉDIA DE EMBUTIR (2 MÓDULOS), 2P+T 10 A, SEM SUPORTE E SEM PLACA - FORNECIMENTO E INSTALAÇÃO. AF_12/2015</t>
  </si>
  <si>
    <t>TOMADA MÉDIA DE EMBUTIR (2 MÓDULOS), 2P+T 20 A, SEM SUPORTE E SEM PLACA - FORNECIMENTO E INSTALAÇÃO. AF_12/2015</t>
  </si>
  <si>
    <t>TOMADA MÉDIA DE EMBUTIR (2 MÓDULOS), 2P+T 10 A, INCLUINDO SUPORTE E PLACA - FORNECIMENTO E INSTALAÇÃO. AF_12/2015</t>
  </si>
  <si>
    <t>TOMADA MÉDIA DE EMBUTIR (2 MÓDULOS), 2P+T 20 A, INCLUINDO SUPORTE E PLACA - FORNECIMENTO E INSTALAÇÃO. AF_12/2015</t>
  </si>
  <si>
    <t>TOMADA BAIXA DE EMBUTIR (2 MÓDULOS), 2P+T 10 A, SEM SUPORTE E SEM PLACA - FORNECIMENTO E INSTALAÇÃO. AF_12/2015</t>
  </si>
  <si>
    <t>TOMADA BAIXA DE EMBUTIR (2 MÓDULOS), 2P+T 20 A, SEM SUPORTE E SEM PLACA - FORNECIMENTO E INSTALAÇÃO. AF_12/2015</t>
  </si>
  <si>
    <t>TOMADA BAIXA DE EMBUTIR (2 MÓDULOS), 2P+T 10 A, INCLUINDO SUPORTE E PLACA - FORNECIMENTO E INSTALAÇÃO. AF_12/2015</t>
  </si>
  <si>
    <t>TOMADA BAIXA DE EMBUTIR (2 MÓDULOS), 2P+T 20 A, INCLUINDO SUPORTE E PLACA - FORNECIMENTO E INSTALAÇÃO. AF_12/2015</t>
  </si>
  <si>
    <t>TOMADA MÉDIA DE EMBUTIR (3 MÓDULOS), 2P+T 10 A, SEM SUPORTE E SEM PLACA - FORNECIMENTO E INSTALAÇÃO. AF_12/2015</t>
  </si>
  <si>
    <t>TOMADA MÉDIA DE EMBUTIR (3 MÓDULOS), 2P+T 20 A, SEM SUPORTE E SEM PLACA - FORNECIMENTO E INSTALAÇÃO. AF_12/2015</t>
  </si>
  <si>
    <t>TOMADA MÉDIA DE EMBUTIR (3 MÓDULOS), 2P+T 10 A, INCLUINDO SUPORTE E PLACA - FORNECIMENTO E INSTALAÇÃO. AF_12/2015</t>
  </si>
  <si>
    <t>TOMADA MÉDIA DE EMBUTIR (3 MÓDULOS), 2P+T 20 A, INCLUINDO SUPORTE E PLACA - FORNECIMENTO E INSTALAÇÃO. AF_12/2015</t>
  </si>
  <si>
    <t>TOMADA BAIXA DE EMBUTIR (3 MÓDULOS), 2P+T 10 A, SEM SUPORTE E SEM PLACA - FORNECIMENTO E INSTALAÇÃO. AF_12/2015</t>
  </si>
  <si>
    <t>TOMADA BAIXA DE EMBUTIR (3 MÓDULOS), 2P+T 20 A, SEM SUPORTE E SEM PLACA - FORNECIMENTO E INSTALAÇÃO. AF_12/2015</t>
  </si>
  <si>
    <t>TOMADA BAIXA DE EMBUTIR (3 MÓDULOS), 2P+T 10 A, INCLUINDO SUPORTE E PLACA - FORNECIMENTO E INSTALAÇÃO. AF_12/2015</t>
  </si>
  <si>
    <t>TOMADA BAIXA DE EMBUTIR (3 MÓDULOS), 2P+T 20 A, INCLUINDO SUPORTE E PLACA - FORNECIMENTO E INSTALAÇÃO. AF_12/2015</t>
  </si>
  <si>
    <t>TOMADA BAIXA DE EMBUTIR (4 MÓDULOS), 2P+T 10 A, SEM SUPORTE E SEM PLACA - FORNECIMENTO E INSTALAÇÃO. AF_12/2015</t>
  </si>
  <si>
    <t>TOMADA BAIXA DE EMBUTIR (4 MÓDULOS), 2P+T 10 A, INCLUINDO SUPORTE E PLACA - FORNECIMENTO E INSTALAÇÃO. AF_12/2015</t>
  </si>
  <si>
    <t>TOMADA BAIXA DE EMBUTIR (6 MÓDULOS), 2P+T 10 A, SEM SUPORTE E SEM PLACA - FORNECIMENTO E INSTALAÇÃO. AF_12/2015</t>
  </si>
  <si>
    <t>TOMADA BAIXA DE EMBUTIR (6 MÓDULOS), 2P+T 10 A, INCLUINDO SUPORTE E PLACA - FORNECIMENTO E INSTALAÇÃO. AF_12/2015</t>
  </si>
  <si>
    <t>PONTO DE TOMADA RESIDENCIAL INCLUINDO TOMADA 10A/250V, CAIXA ELÉTRICA, ELETRODUTO, CABO, RASGO, QUEBRA E CHUMBAMENTO. AF_01/2016</t>
  </si>
  <si>
    <t>PONTO DE TOMADA RESIDENCIAL INCLUINDO TOMADA (2 MÓDULOS) 10A/250V, CAIXA ELÉTRICA, ELETRODUTO, CABO, RASGO, QUEBRA E CHUMBAMENTO. AF_01/2016</t>
  </si>
  <si>
    <t>PONTO DE TOMADA RESIDENCIAL INCLUINDO TOMADA 20A/250V, CAIXA ELÉTRICA, ELETRODUTO, CABO, RASGO, QUEBRA E CHUMBAMENTO. AF_01/2016</t>
  </si>
  <si>
    <t>PONTO DE UTILIZAÇÃO DE EQUIPAMENTOS ELÉTRICOS, RESIDENCIAL, INCLUINDO SUPORTE E PLACA, CAIXA ELÉTRICA, ELETRODUTO, CABO, RASGO, QUEBRA E CHUMBAMENTO. AF_01/2016</t>
  </si>
  <si>
    <t>PONTO DE ILUMINAÇÃO E TOMADA, RESIDENCIAL, INCLUINDO INTERRUPTOR SIMPLES E TOMADA 10A/250V, CAIXA ELÉTRICA, ELETRODUTO, CABO, RASGO, QUEBRA E CHUMBAMENTO (EXCLUINDO LUMINÁRIA E LÂMPADA). AF_01/2016</t>
  </si>
  <si>
    <t>PONTO DE ILUMINAÇÃO E TOMADA, RESIDENCIAL, INCLUINDO INTERRUPTOR PARALELO E TOMADA 10A/250V, CAIXA ELÉTRICA, ELETRODUTO, CABO, RASGO, QUEBRA E CHUMBAMENTO (EXCLUINDO LUMINÁRIA E LÂMPADA). AF_01/2016</t>
  </si>
  <si>
    <t>PONTO DE ILUMINAÇÃO E TOMADA, RESIDENCIAL, INCLUINDO INTERRUPTOR SIMPLES, INTERRUPTOR PARALELO E TOMADA 10A/250V, CAIXA ELÉTRICA, ELETRODUTO, CABO, RASGO, QUEBRA E CHUMBAMENTO (EXCLUINDO LUMINÁRIA E LÂMPADA). AF_01/2016</t>
  </si>
  <si>
    <t>PONTO DE ILUMINAÇÃO RESIDENCIAL INCLUINDO INTERRUPTOR SIMPLES, CAIXA ELÉTRICA, ELETRODUTO, CABO, RASGO, QUEBRA E CHUMBAMENTO (EXCLUINDO LUMINÁRIA E LÂMPADA). AF_01/2016</t>
  </si>
  <si>
    <t>PONTO DE ILUMINAÇÃO RESIDENCIAL INCLUINDO INTERRUPTOR SIMPLES (2 MÓDULOS), CAIXA ELÉTRICA, ELETRODUTO, CABO, RASGO, QUEBRA E CHUMBAMENTO (EXCLUINDO LUMINÁRIA E LÂMPADA). AF_01/2016</t>
  </si>
  <si>
    <t>PONTO DE ILUMINAÇÃO RESIDENCIAL INCLUINDO INTERRUPTOR PARALELO, CAIXA ELÉTRICA, ELETRODUTO, CABO, RASGO, QUEBRA E CHUMBAMENTO (EXCLUINDO LUMINÁRIA E LÂMPADA). AF_01/2016</t>
  </si>
  <si>
    <t>PONTO DE ILUMINAÇÃO RESIDENCIAL INCLUINDO INTERRUPTOR PARALELO (2 MÓDULOS), CAIXA ELÉTRICA, ELETRODUTO, CABO, RASGO, QUEBRA E CHUMBAMENTO (EXCLUINDO LUMINÁRIA E LÂMPADA). AF_01/2016</t>
  </si>
  <si>
    <t>PONTO DE ILUMINAÇÃO RESIDENCIAL INCLUINDO INTERRUPTOR SIMPLES CONJUGADO COM PARALELO, CAIXA ELÉTRICA, ELETRODUTO, CABO, RASGO, QUEBRA E CHUMBAMENTO (EXCLUINDO LUMINÁRIA E LÂMPADA). AF_01/2016</t>
  </si>
  <si>
    <t>SENSOR DE PRESENÇA COM FOTOCÉLULA, FIXAÇÃO EM PAREDE - FORNECIMENTO E INSTALAÇÃO. AF_02/2020</t>
  </si>
  <si>
    <t>SENSOR DE PRESENÇA SEM FOTOCÉLULA, FIXAÇÃO EM PAREDE - FORNECIMENTO E INSTALAÇÃO. AF_02/2020</t>
  </si>
  <si>
    <t>SENSOR DE PRESENÇA COM FOTOCÉLULA, FIXAÇÃO EM TETO - FORNECIMENTO E INSTALAÇÃO. AF_02/2020</t>
  </si>
  <si>
    <t>SENSOR DE PRESENÇA SEM FOTOCÉLULA, FIXAÇÃO EM TETO - FORNECIMENTO E INSTALAÇÃO. AF_02/2020</t>
  </si>
  <si>
    <t>LUMINÁRIA DE EMERGÊNCIA, COM 30 LÂMPADAS LED DE 2 W, SEM REATOR - FORNECIMENTO E INSTALAÇÃO. AF_02/2020</t>
  </si>
  <si>
    <t>LUMINÁRIA TIPO CALHA, DE SOBREPOR, COM 1 LÂMPADA TUBULAR FLUORESCENTE DE 18 W, COM REATOR DE PARTIDA RÁPIDA - FORNECIMENTO E INSTALAÇÃO. AF_02/2020</t>
  </si>
  <si>
    <t>LUMINÁRIA FECHADA PARA ILUMINAÇÃO PÚBLICA, COM REATOR DE PARTIDA RÁPIDA, COM LÂMPADA VAPOR DE MERCÚRIO 250 W - FORNECIMENTO E INSTALAÇÃO. AF_08/2020</t>
  </si>
  <si>
    <t>LUMINÁRIA FECHADA, PARA ILUMINAÇÃO PÚBLICA, PARA LÂMPADA DE VAPOR - FORNECIMENTO E INSTALAÇÃO (EXCLUSIVE LÂMPADA E REATOR). AF_08/2020</t>
  </si>
  <si>
    <t>LUMINÁRIA ABERTA PARA ILUMINAÇÃO PÚBLICA, PARA LÂMPADA VAPOR DE MERCÚRIO ATÉ 400 W E MISTA ATÉ 500 W, COM BRAÇO EM TUBO DE AÇO GALV 1", COMPRIMENTO DE 1,50 M, PARA POSTE DE CONCRETO - FORNECIMENTO E INSTALAÇÃO (EXCLUSIVE LÂMPADA E REATOR). AF_08/2020</t>
  </si>
  <si>
    <t>LUMINÁRIA TIPO CALHA, DE SOBREPOR, COM 1 LÂMPADA TUBULAR FLUORESCENTE DE 36 W, COM REATOR DE PARTIDA RÁPIDA - FORNECIMENTO E INSTALAÇÃO. AF_02/2020</t>
  </si>
  <si>
    <t>LUMINÁRIA TIPO CALHA, DE SOBREPOR, COM 2 LÂMPADAS TUBULARES FLUORESCENTES DE 18 W, COM REATOR DE PARTIDA RÁPIDA - FORNECIMENTO E INSTALAÇÃO. AF_02/2020</t>
  </si>
  <si>
    <t>LUMINÁRIA TIPO CALHA, DE SOBREPOR, COM 2 LÂMPADAS TUBULARES FLUORESCENTES DE 36 W, COM REATOR DE PARTIDA RÁPIDA - FORNECIMENTO E INSTALAÇÃO. AF_02/2020</t>
  </si>
  <si>
    <t>LUMINÁRIA TIPO CALHA, DE EMBUTIR, COM 2 LÂMPADAS FLUORESCENTES DE 14 W, COM REATOR DE PARTIDA RÁPIDA - FORNECIMENTO E INSTALAÇÃO. AF_02/2020</t>
  </si>
  <si>
    <t>LUMINÁRIA TIPO PLAFON EM PLÁSTICO, DE SOBREPOR, COM 1 LÂMPADA FLUORESCENTE DE 15 W, SEM REATOR - FORNECIMENTO E INSTALAÇÃO. AF_02/2020</t>
  </si>
  <si>
    <t>LUMINÁRIA TIPO PLAFON REDONDO COM VIDRO FOSCO, DE SOBREPOR, COM 1 LÂMPADA FLUORESCENTE DE 15 W, SEM REATOR - FORNECIMENTO E INSTALAÇÃO. AF_02/2020</t>
  </si>
  <si>
    <t>LUMINÁRIA TIPO PLAFON REDONDO COM VIDRO FOSCO, DE SOBREPOR, COM 2 LÂMPADAS FLUORESCENTES DE 15 W, SEM REATOR - FORNECIMENTO E INSTALAÇÃO. AF_02/2020</t>
  </si>
  <si>
    <t>LUMINÁRIA TIPO PLAFON, DE SOBREPOR, COM 1 LÂMPADA LED DE 12/13 W, SEM REATOR - FORNECIMENTO E INSTALAÇÃO. AF_02/2020</t>
  </si>
  <si>
    <t>LUMINÁRIA TIPO SPOT, DE SOBREPOR, COM 1 LÂMPADA FLUORESCENTE DE 15 W, SEM REATOR - FORNECIMENTO E INSTALAÇÃO. AF_02/2020</t>
  </si>
  <si>
    <t>LUMINÁRIA TIPO SPOT, DE SOBREPOR, COM 2 LÂMPADAS FLUORESCENTES DE 15 W, SEM REATOR - FORNECIMENTO E INSTALAÇÃO. AF_02/2020</t>
  </si>
  <si>
    <t>REFLETOR RETANGULAR FECHADO, COM LÂMPADA VAPOR METÁLICO 400 W - FORNECIMENTO E INSTALAÇÃO. AF_08/2020</t>
  </si>
  <si>
    <t>REFLETOR EM ALUMÍNIO, DE SUPORTE E ALÇA, COM 1 LÂMPADA VAPOR DE MERCÚRIO DE 125 W, COM REATOR ALTO FATOR DE POTÊNCIA - FORNECIMENTO E INSTALAÇÃO. AF_02/2020</t>
  </si>
  <si>
    <t>REFLETOR EM ALUMÍNIO, DE SUPORTE E ALÇA, COM LÂMPADA VAPOR DE MERCÚRIO DE 250 W, COM REATOR ALTO FATOR DE POTÊNCIA - FORNECIMENTO E INSTALAÇÃO. AF_02/2020</t>
  </si>
  <si>
    <t>LÂMPADA COMPACTA FLUORESCENTE DE 15 W, BASE E27 - FORNECIMENTO E INSTALAÇÃO. AF_02/2020</t>
  </si>
  <si>
    <t>LÂMPADA COMPACTA FLUORESCENTE DE 20 W, BASE E27 - FORNECIMENTO E INSTALAÇÃO. AF_02/2020</t>
  </si>
  <si>
    <t>LÂMPADA TUBULAR FLUORESCENTE T8 DE 16/18 W, BASE G13 - FORNECIMENTO E INSTALAÇÃO. AF_02/2020_P</t>
  </si>
  <si>
    <t>LÂMPADA TUBULAR FLUORESCENTE T8 DE 32/36 W, BASE G13 - FORNECIMENTO E INSTALAÇÃO. AF_02/2020_P</t>
  </si>
  <si>
    <t>LÂMPADA TUBULAR FLUORESCENTE T10 DE 20/40 W, BASE G13 - FORNECIMENTO E INSTALAÇÃO. AF_02/2020_P</t>
  </si>
  <si>
    <t>LÂMPADA TUBULAR FLUORESCENTE T5 DE 14 W, BASE G13 - FORNECIMENTO E INSTALAÇÃO. AF_02/2020_P</t>
  </si>
  <si>
    <t>LÂMPADA COMPACTA DE VAPOR MERCURIO 125 W, BASE E27 - FORNECIMENTO E INSTALAÇÃO. AF_02/2020</t>
  </si>
  <si>
    <t>LÂMPADA COMPACTA DE VAPOR METÁLICO OVOIDE 150 W, BASE E27 - FORNECIMENTO E INSTALAÇÃO. AF_02/2020</t>
  </si>
  <si>
    <t>LÂMPADA VAPOR DE SÓDIO 150 W - FORNECIMENTO E INSTALAÇÃO. AF_08/2020</t>
  </si>
  <si>
    <t>LÂMPADA VAPOR DE SÓDIO 250 W - FORNECIMENTO E INSTALAÇÃO. AF_08/2020</t>
  </si>
  <si>
    <t>LÂMPADA VAPOR DE SÓDIO 400 W - FORNECIMENTO E INSTALAÇÃO. AF_08/2020</t>
  </si>
  <si>
    <t>LÂMPADA VAPOR METÁLICO 400 W - FORNECIMENTO E INSTALAÇÃO. AF_08/2020</t>
  </si>
  <si>
    <t>LÂMPADA VAPOR METÁLICO 150 W - FORNECIMENTO E INSTALAÇÃO. AF_08/2020</t>
  </si>
  <si>
    <t>LÂMPADA VAPOR DE MERCÚRIO 125 W - FORNECIMENTO E INSTALAÇÃO. AF_08/2020</t>
  </si>
  <si>
    <t>LÂMPADA VAPOR DE MERCÚRIO 250 W - FORNECIMENTO E INSTALAÇÃO. AF_08/2020</t>
  </si>
  <si>
    <t>LÂMPADA VAPOR DE MERCÚRIO 400 W - FORNECIMENTO E INSTALAÇÃO. AF_08/2020</t>
  </si>
  <si>
    <t>LÂMPADA MISTA 160 W - FORNECIMENTO E INSTALAÇÃO. AF_08/2020</t>
  </si>
  <si>
    <t>LÂMPADA MISTA 250 W - FORNECIMENTO E INSTALAÇÃO. AF_08/2020</t>
  </si>
  <si>
    <t>LÂMPADA MISTA 500 W - FORNECIMENTO E INSTALAÇÃO. AF_08/2020</t>
  </si>
  <si>
    <t>LUMINÁRIA ESTANQUE COM PROTEÇÃO CONTRA ÁGUA, POEIRA OU IMPACTOS - FORNECIMENTO E INSTALAÇÃO. AF_08/2020</t>
  </si>
  <si>
    <t>LUMINÁRIA ARANDELA TIPO MEIA LUA, DE SOBREPOR, COM 1 LÂMPADA LED DE 6 W, SEM REATOR - FORNECIMENTO E INSTALAÇÃO. AF_02/2020</t>
  </si>
  <si>
    <t>LUMINÁRIA DE LED PARA ILUMINAÇÃO PÚBLICA, DE 33 W ATÉ 50 W - FORNECIMENTO E INSTALAÇÃO. AF_08/2020</t>
  </si>
  <si>
    <t>LUMINÁRIA DE LED PARA ILUMINAÇÃO PÚBLICA, DE 51 W ATÉ 67 W - FORNECIMENTO E INSTALAÇÃO. AF_08/2020</t>
  </si>
  <si>
    <t>LUMINÁRIA DE LED PARA ILUMINAÇÃO PÚBLICA, DE 68 W ATÉ 97 W - FORNECIMENTO E INSTALAÇÃO. AF_08/2020</t>
  </si>
  <si>
    <t>LUMINÁRIA DE LED PARA ILUMINAÇÃO PÚBLICA, DE 98 W ATÉ 137 W - FORNECIMENTO E INSTALAÇÃO. AF_08/2020</t>
  </si>
  <si>
    <t>LUMINÁRIA DE LED PARA ILUMINAÇÃO PÚBLICA, DE 138 W ATÉ 180 W - FORNECIMENTO E INSTALAÇÃO. AF_08/2020</t>
  </si>
  <si>
    <t>LUMINÁRIA DE LED PARA ILUMINAÇÃO PÚBLICA, DE 181 W ATÉ 239 W - FORNECIMENTO E INSTALAÇÃO. AF_08/2020</t>
  </si>
  <si>
    <t>LUMINÁRIA DE LED PARA ILUMINAÇÃO PÚBLICA, DE 240 W ATÉ 350 W - FORNECIMENTO E INSTALAÇÃO. AF_08/2020</t>
  </si>
  <si>
    <t>LUMINÁRIA ARANDELA TIPO MEIA LUA, DE SOBREPOR, COM 1 LÂMPADA FLUORESCENTE DE 15 W, SEM REATOR - FORNECIMENTO E INSTALAÇÃO. AF_02/2020</t>
  </si>
  <si>
    <t>LUMINÁRIA ARANDELA TIPO TARTARUGA, DE SOBREPOR, COM 1 LÂMPADA LED DE 6 W, SEM REATOR - FORNECIMENTO E INSTALAÇÃO. AF_02/2020</t>
  </si>
  <si>
    <t>LUMINÁRIA ARANDELA TIPO TARTARUGA, COM GRADE, DE SOBREPOR, COM 1 LÂMPADA FLUORESCENTE DE 15 W, SEM REATOR - FORNECIMENTO E INSTALAÇÃO. AF_02/2020</t>
  </si>
  <si>
    <t>LÂMPADA TUBULAR LED DE 9/10 W, BASE G13 - FORNECIMENTO E INSTALAÇÃO. AF_02/2020_P</t>
  </si>
  <si>
    <t>LÂMPADA TUBULAR LED DE 18/20 W, BASE G13 - FORNECIMENTO E INSTALAÇÃO. AF_02/2020_P</t>
  </si>
  <si>
    <t>LUMINÁRIA TIPO CALHA, DE SOBREPOR, COM 1 LÂMPADA TUBULAR FLUORESCENTE DE 20 W, COM REATOR DE PARTIDA CONVENCIONAL - FORNECIMENTO E INSTALAÇÃO. AF_02/2020</t>
  </si>
  <si>
    <t>LUMINÁRIA DUPLA TIPO CALHA, DE SOBREPOR, COM 4 LÂMPADAS TUBULARES FLUORESCENTES DE 18 W,COM REATORES DE PARTIDA RÁPIDA - FORNECIMENTO E INSTALAÇÃO. AF_02/2020</t>
  </si>
  <si>
    <t>LUMINÁRIA DUPLA TIPO CALHA, DE SOBREPOR, COM 4 LÂMPADAS TUBULARES FLUORESCENTES DE 36 W, COM REATORES DE PARTIDA RÁPIDA -FORNECIMENTO E INSTALAÇÃO. AF_02/2020</t>
  </si>
  <si>
    <t>LÂMPADA FLUORESCENTE ESPIRAL BRANCA 45 W, BASE E27 - FORNECIMENTO E INSTALAÇÃO. AF_02/2020</t>
  </si>
  <si>
    <t>LÂMPADA FLUORESCENTE ESPIRAL BRANCA 65 W, BASE E27 - FORNECIMENTO E INSTALAÇÃO. AF_02/2020</t>
  </si>
  <si>
    <t>LÂMPADA COMPACTA DE LED 6 W, BASE E27 - FORNECIMENTO E INSTALAÇÃO. AF_02/2020</t>
  </si>
  <si>
    <t>LÂMPADA COMPACTA DE LED 10 W, BASE E27 - FORNECIMENTO E INSTALAÇÃO. AF_02/2020</t>
  </si>
  <si>
    <t>APARELHO SINALIZADOR DE SAÍDA DE GARAGEM, COM CÉLULA FOTOELÉTRICA - FORNECIMENTO E INSTALAÇÃO. AF_07/2020</t>
  </si>
  <si>
    <t>INSTALAÇÃO DE SINALIZADOR NOTURNO LED. AF_11/2017</t>
  </si>
  <si>
    <t>ARMAÇÃO SECUNDÁRIA, COM 1 ESTRIBO E 1 ISOLADOR - FORNECIMENTO E INSTALAÇÃO. AF_07/2020</t>
  </si>
  <si>
    <t>ARMAÇÃO SECUNDÁRIA, COM 2 ESTRIBOS E 2 ISOLADORES - FORNECIMENTO E INSTALAÇÃO. AF_07/2020</t>
  </si>
  <si>
    <t>ARMAÇÃO SECUNDÁRIA, COM 3 ESTRIBOS E 3 ISOLADORES - FORNECIMENTO E INSTALAÇÃO. AF_07/2020</t>
  </si>
  <si>
    <t>ARMAÇÃO SECUNDÁRIA, COM 4 ESTRIBOS E 4 ISOLADORES - FORNECIMENTO E INSTALAÇÃO. AF_07/2020</t>
  </si>
  <si>
    <t>ARMAÇÃO SECUNDÁRIA, COM 1 ESTRIBO, SEM ISOLADOR - FORNECIMENTO E INSTALAÇÃO. AF_07/2020</t>
  </si>
  <si>
    <t>ARMAÇÃO SECUNDÁRIA, COM 2 ESTRIBOS, SEM ISOLADOR - FORNECIMENTO E INSTALAÇÃO. AF_07/2020</t>
  </si>
  <si>
    <t>ARMAÇÃO SECUNDÁRIA, COM 3 ESTRIBOS, SEM ISOLADOR - FORNECIMENTO E INSTALAÇÃO. AF_07/2020</t>
  </si>
  <si>
    <t>ARMAÇÃO SECUNDÁRIA, COM 4 ESTRIBOS, SEM ISOLADOR - FORNECIMENTO E INSTALAÇÃO. AF_07/2020</t>
  </si>
  <si>
    <t>ISOLADOR, TIPO PINO, PARA TENSÃO 15 KV - FORNECIMENTO E INSTALAÇÃO. AF_07/2020</t>
  </si>
  <si>
    <t>ISOLADOR, TIPO DISCO, PARA TENSÃO 15 KV - FORNECIMENTO E INSTALAÇÃO. AF_07/2020</t>
  </si>
  <si>
    <t>ISOLADOR, TIPO ROLDANA, PARA BAIXA TENSÃO - FORNECIMENTO E INSTALAÇÃO. AF_07/2020</t>
  </si>
  <si>
    <t>GRAMPO PARALELO METÁLICO, PARA REDES AÉREAS DE DISTRIBUIÇÃO DE ENERGIA ELÉTRICA DE BAIXA TENSÃO - FORNECIMENTO E INSTALAÇÃO. AF_07/2020</t>
  </si>
  <si>
    <t>ALÇA PREFORMADA DE DISTRIBUIÇÃO, EM  AÇO GALVANIZADO, AWG 1 - FORNECIMENTO E INSTALAÇÃO. AF_07/2020</t>
  </si>
  <si>
    <t>ALÇA PREFORMADA DE DISTRIBUIÇÃO, EM  AÇO GALVANIZADO, AWG 2 - FORNECIMENTO E INSTALAÇÃO. AF_07/2020</t>
  </si>
  <si>
    <t>ALÇA PREFORMADA DE DISTRIBUIÇÃO, EM  AÇO GALVANIZADO, AWG 4 - FORNECIMENTO E INSTALAÇÃO. AF_07/2020</t>
  </si>
  <si>
    <t>ALÇA PREFORMADA DE DISTRIBUIÇÃO, EM  AÇO GALVANIZADO, AWG 6 - FORNECIMENTO E INSTALAÇÃO. AF_07/2020</t>
  </si>
  <si>
    <t>REATOR PARA LÂMPADA VAPOR DE MERCÚRIO 400 W, USO EXTERNO - FORNECIMENTO E INSTALAÇÃO. AF_08/2020</t>
  </si>
  <si>
    <t>REATOR PARA LÂMPADA VAPOR DE SÓDIO 250 W, USO EXTERNO - FORNECIMENTO E INSTALAÇÃO. AF_08/2020</t>
  </si>
  <si>
    <t>REATOR PARA LÂMPADA VAPOR DE MERCÚRIO 125 W, USO EXTERNO - FORNECIMENTO E INSTALAÇÃO. AF_08/2020</t>
  </si>
  <si>
    <t>REATOR PARA LÂMPADA VAPOR DE MERCÚRIO 250 W, USO EXTERNO - FORNECIMENTO E INSTALAÇÃO. AF_08/2020</t>
  </si>
  <si>
    <t>REATOR DE PARTIDA RÁPIDA PARA LÂMPADA FLUORESCENTE 2X40W - FORNECIMENTO E INSTALAÇÃO. AF_02/2020</t>
  </si>
  <si>
    <t>REATOR DE PARTIDA RÁPIDA PARA LÂMPADA FLUORESCENTE 1X20W - FORNECIMENTO E INSTALAÇÃO. AF_02/2020</t>
  </si>
  <si>
    <t>REATOR DE PARTIDA RÁPIDA PARA LÂMPADA FLUORESCENTE 1X40W - FORNECIMENTO E INSTALAÇÃO. AF_02/2020</t>
  </si>
  <si>
    <t>SUBSTITUIÇÃO DE LUMINÁRIA DE VAPOR DE MERCÚRIO/VAPOR DE SÓDIO POR LUMINÁRIA DE LED PARA ILUMINAÇÃO PÚBLICA (NÃO INCLUI FORNECIMENTO). AF_08/2020</t>
  </si>
  <si>
    <t>SUBSTITUIÇÃO DE LÂMPADA PARA ILUMINAÇÃO PÚBLICA (NÃO INCLUI FORNECIMENTO). AF_08/2020</t>
  </si>
  <si>
    <t>SUBSTITUIÇÃO DE REATOR PARA ILUMINAÇÃO PÚBLICA (NÃO INCLUI FORNECIMENTO). AF_08/2020</t>
  </si>
  <si>
    <t>IGNITOR PARA PARTIDA LÂMPADA VAPOR SÓDIO / VAPOR METÁLICO ATÉ 400 W - FORNECIMENTO E INSTALAÇÃO. AF_08/2020</t>
  </si>
  <si>
    <t>RELÉ FOTOELÉTRICO PARA COMANDO DE ILUMINAÇÃO EXTERNA 1000 W - FORNECIMENTO E INSTALAÇÃO. AF_08/2020</t>
  </si>
  <si>
    <t>SUBSTITUIÇÃO DE RELÉ FOTOELÉTRICO PARA COMANDO DE ILUMINAÇÃO EXTERNA 1000 W - FORNECIMENTO E INSTALAÇÃO. AF_08/2020</t>
  </si>
  <si>
    <t>BRAÇO PARA ILUMINAÇÃO PÚBLICA, EM TUBO DE AÇO GALVANIZADO, COMPRIMENTO DE 1,50 M, PARA FIXAÇÃO EM POSTE DE CONCRETO - FORNECIMENTO E INSTALAÇÃO. AF_08/2020</t>
  </si>
  <si>
    <t>BRAÇO PARA ILUMINAÇÃO PÚBLICA, EM TUBO DE AÇO GALVANIZADO, COMPRIMENTO DE 1,50 M, PARA FIXAÇÃO EM POSTE METÁLICO - FORNECIMENTO E INSTALAÇÃO. AF_08/2020</t>
  </si>
  <si>
    <t>HASTE DE ATERRAMENTO 5/8  PARA SPDA - FORNECIMENTO E INSTALAÇÃO. AF_12/2017</t>
  </si>
  <si>
    <t>HASTE DE ATERRAMENTO 3/4  PARA SPDA - FORNECIMENTO E INSTALAÇÃO. AF_12/2017</t>
  </si>
  <si>
    <t>BASE METÁLICA PARA MASTRO 1 ½  PARA SPDA - FORNECIMENTO E INSTALAÇÃO. AF_12/2017</t>
  </si>
  <si>
    <t>MASTRO 1 ½  PARA SPDA - FORNECIMENTO E INSTALAÇÃO. AF_12/2017</t>
  </si>
  <si>
    <t>CORDOALHA DE COBRE NU 16 MM², NÃO ENTERRADA, COM ISOLADOR - FORNECIMENTO E INSTALAÇÃO. AF_12/2017</t>
  </si>
  <si>
    <t>CORDOALHA DE COBRE NU 25 MM², NÃO ENTERRADA, COM ISOLADOR - FORNECIMENTO E INSTALAÇÃO. AF_12/2017</t>
  </si>
  <si>
    <t>CORDOALHA DE COBRE NU 35 MM², NÃO ENTERRADA, COM ISOLADOR - FORNECIMENTO E INSTALAÇÃO. AF_12/2017</t>
  </si>
  <si>
    <t>CORDOALHA DE COBRE NU 50 MM², NÃO ENTERRADA, COM ISOLADOR - FORNECIMENTO E INSTALAÇÃO. AF_12/2017</t>
  </si>
  <si>
    <t>CORDOALHA DE COBRE NU 70 MM², NÃO ENTERRADA, COM ISOLADOR - FORNECIMENTO E INSTALAÇÃO. AF_12/2017</t>
  </si>
  <si>
    <t>CORDOALHA DE COBRE NU 95 MM², NÃO ENTERRADA, COM ISOLADOR - FORNECIMENTO E INSTALAÇÃO. AF_12/2017</t>
  </si>
  <si>
    <t>CORDOALHA DE COBRE NU 50 MM², ENTERRADA, SEM ISOLADOR - FORNECIMENTO E INSTALAÇÃO. AF_12/2017</t>
  </si>
  <si>
    <t>CORDOALHA DE COBRE NU 70 MM², ENTERRADA, SEM ISOLADOR - FORNECIMENTO E INSTALAÇÃO. AF_12/2017</t>
  </si>
  <si>
    <t>CORDOALHA DE COBRE NU 95 MM², ENTERRADA, SEM ISOLADOR - FORNECIMENTO E INSTALAÇÃO. AF_12/2017</t>
  </si>
  <si>
    <t>CAPTOR TIPO FRANKLIN PARA SPDA - FORNECIMENTO E INSTALAÇÃO. AF_12/2017</t>
  </si>
  <si>
    <t>SUPORTE ISOLADOR PARA CORDOALHA DE COBRE - FORNECIMENTO E INSTALAÇÃO. AF_12/2017</t>
  </si>
  <si>
    <t>QUADRO DE DISTRIBUIÇÃO PARA TELEFONE N.2, 20X20X12CM EM CHAPA METALICA, DE EMBUTIR, SEM ACESSORIOS, PADRÃO TELEBRAS, FORNECIMENTO E INSTALAÇÃO. AF_11/2019</t>
  </si>
  <si>
    <t>QUADRO DE DISTRIBUICAO PARA TELEFONE N.3, 40X40X12CM EM CHAPA METALICA, DE EMBUTIR, SEM ACESSORIOS, PADRAO TELEBRAS, FORNECIMENTO E INSTALAÇÃO. AF_11/2019</t>
  </si>
  <si>
    <t>QUADRO DE DISTRIBUICAO PARA TELEFONE N.4, 60X60X12CM EM CHAPA METALICA, DE EMBUTIR, SEM ACESSORIOS, PADRAO TELEBRAS, FORNECIMENTO E INSTALAÇÃO. AF_11/2019</t>
  </si>
  <si>
    <t>QUADRO DE DISTRIBUIÇÃO PARA TELEFONE N.5, 80X80X12CM EM CHAPA METALICA, SEM ACESSORIOS, PADRAO TELEBRAS, FORNECIMENTO E INSTALAÇÃO. AF_11/2019</t>
  </si>
  <si>
    <t>CAIXA DE PASSAGEM PARA TELEFONE 15X15X10CM (SOBREPOR), FORNECIMENTO E INSTALACAO. AF_11/2019</t>
  </si>
  <si>
    <t>CAIXA DE PASSAGEM PARA TELEFONE 80X80X15CM (SOBREPOR) FORNECIMENTO E INSTALACAO. AF_11/2019</t>
  </si>
  <si>
    <t>CABO ELETRÔNICO CATEGORIA 5E, INSTALADO EM EDIFICAÇÃO RESIDENCIAL - FORNECIMENTO E INSTALAÇÃO. AF_11/2019</t>
  </si>
  <si>
    <t>CABO ELETRÔNICO CATEGORIA 5E, INSTALADO EM EDIFICAÇÃO INSTITUCIONAL - FORNECIMENTO E INSTALAÇÃO. AF_11/2019</t>
  </si>
  <si>
    <t>CABO ELETRÔNICO CATEGORIA 6, INSTALADO EM EDIFICAÇÃO RESIDENCIAL - FORNECIMENTO E INSTALAÇÃO. AF_11/2019</t>
  </si>
  <si>
    <t>CABO ELETRÔNICO CATEGORIA 6, INSTALADO EM EDIFICAÇÃO INSTITUCIONAL - FORNECIMENTO E INSTALAÇÃO. AF_11/2019</t>
  </si>
  <si>
    <t>PATCH PANEL 24 PORTAS, CATEGORIA 5E - FORNECIMENTO E INSTALAÇÃO. AF_11/2019</t>
  </si>
  <si>
    <t>PATCH PANEL 24 PORTAS, CATEGORIA 6 - FORNECIMENTO E INSTALAÇÃO. AF_11/2019</t>
  </si>
  <si>
    <t>PATCH PANEL 48 PORTAS, CATEGORIA 6 - FORNECIMENTO E INSTALAÇÃO. AF_11/2019</t>
  </si>
  <si>
    <t>TOMADA DE REDE RJ45 - FORNECIMENTO E INSTALAÇÃO. AF_11/2019</t>
  </si>
  <si>
    <t>TOMADA PARA TELEFONE RJ11 - FORNECIMENTO E INSTALAÇÃO. AF_11/2019</t>
  </si>
  <si>
    <t>PATCH PANEL 48 PORTAS, CATEGORIA 5E - FORNECIMENTO E INSTALAÇÃO. AF_11/2019</t>
  </si>
  <si>
    <t>CABO TELEFÔNICO CTP-APL-50 10 PARES INSTALADO EM ENTRADA DE EDIFICAÇÃO - FORNECIMENTO E INSTALAÇÃO. AF_11/2019</t>
  </si>
  <si>
    <t>CABO TELEFÔNICO CTP-APL-50 20 PARES INSTALADO EM ENTRADA DE EDIFICAÇÃO - FORNECIMENTO E INSTALAÇÃO. AF_11/2019</t>
  </si>
  <si>
    <t>CABO TELEFÔNICO CTP-APL-50 30 PARES INSTALADO EM ENTRADA DE EDIFICAÇÃO - FORNECIMENTO E INSTALAÇÃO. AF_11/2019</t>
  </si>
  <si>
    <t>CABO TELEFÔNICO CI-50 10 PARES INSTALADO EM ENTRADA DE EDIFICAÇÃO - FORNECIMENTO E INSTALAÇÃO. AF_11/2019</t>
  </si>
  <si>
    <t>CABO TELEFÔNICO CI-50 20 PARES INSTALADO EM ENTRADA DE EDIFICAÇÃO - FORNECIMENTO E INSTALAÇÃO. AF_11/2019</t>
  </si>
  <si>
    <t>CABO TELEFÔNICO CI-50 30 PARES INSTALADO EM ENTRADA DE EDIFICAÇÃO - FORNECIMENTO E INSTALAÇÃO. AF_11/2019</t>
  </si>
  <si>
    <t>CABO TELEFÔNICO CI-50 50 PARES INSTALADO EM ENTRADA DE EDIFICAÇÃO - FORNECIMENTO E INSTALAÇÃO. AF_11/2019</t>
  </si>
  <si>
    <t>CABO TELEFÔNICO CI-50 75 PARES INSTALADO EM ENTRADA DE EDIFICAÇÃO - FORNECIMENTO E INSTALAÇÃO. AF_11/2019</t>
  </si>
  <si>
    <t>CABO TELEFÔNICO CI-50 200 PARES INSTALADO EM ENTRADA DE EDIFICAÇÃO - FORNECIMENTO E INSTALAÇÃO. AF_11/2019</t>
  </si>
  <si>
    <t>CABO TELEFÔNICO CI-50 10 PARES INSTALADO EM PRUMADA - FORNECIMENTO E INSTALAÇÃO. AF_11/2019</t>
  </si>
  <si>
    <t>CABO TELEFÔNICO CI-50 20 PARES INSTALADO EM PRUMADA - FORNECIMENTO E INSTALAÇÃO. AF_11/2019</t>
  </si>
  <si>
    <t>CABO TELEFÔNICO CI-50 30 PARES INSTALADO EM PRUMADA - FORNECIMENTO E INSTALAÇÃO. AF_11/2019</t>
  </si>
  <si>
    <t>CABO TELEFÔNICO CI-50 50 PARES INSTALADO EM PRUMADA - FORNECIMENTO E INSTALAÇÃO. AF_11/2019</t>
  </si>
  <si>
    <t>CABO TELEFÔNICO CI-50 10 PARES INSTALADO EM DISTRIBUIÇÃO DE EDIFICAÇÃO RESIDENCIAL - FORNECIMENTO E INSTALAÇÃO. AF_11/2019</t>
  </si>
  <si>
    <t>CABO TELEFÔNICO CI-50 10 PARES INSTALADO EM DISTRIBUIÇÃO DE EDIFICAÇÃO INSTITUCIONAL - FORNECIMENTO E INSTALAÇÃO. AF_11/2019</t>
  </si>
  <si>
    <t>CABO TELEFÔNICO CCI-50 1 PAR, INSTALADO EM ENTRADA DE EDIFICAÇÃO - FORNECIMENTO E INSTALAÇÃO. AF_11/2019</t>
  </si>
  <si>
    <t>CABO TELEFÔNICO CCI-50 2 PARES, SEM BLINDAGEM, INSTALADO EM ENTRADA DE EDIFICAÇÃO - FORNECIMENTO E INSTALAÇÃO. AF_11/2019</t>
  </si>
  <si>
    <t>CABO TELEFÔNICO CCI-50 3 PARES, SEM BLINDAGEM, INSTALADO EM ENTRADA DE EDIFICAÇÃO - FORNECIMENTO E INSTALAÇÃO. AF_11/2019</t>
  </si>
  <si>
    <t>CABO TELEFÔNICO CCI-50 4 PARES, SEM BLINDAGEM, INSTALADO EM ENTRADA DE EDIFICAÇÃO - FORNECIMENTO E INSTALAÇÃO. AF_11/2019</t>
  </si>
  <si>
    <t>CABO TELEFÔNICO CCI-50 5 PARES, SEM BLINDAGEM, INSTALADO EM ENTRADA DE EDIFICAÇÃO - FORNECIMENTO E INSTALAÇÃO. AF_11/2019</t>
  </si>
  <si>
    <t>CABO TELEFÔNICO CCI-50 6 PARES, SEM BLINDAGEM, INSTALADO EM ENTRADA DE EDIFICAÇÃO - FORNECIMENTO E INSTALAÇÃO. AF_11/2019</t>
  </si>
  <si>
    <t>CABO TELEFÔNICO CCI-50 4 PARES, SEM BLINDAGEM, INSTALADO EM PRUMADA - FORNECIMENTO E INSTALAÇÃO. AF_11/2019</t>
  </si>
  <si>
    <t>CABO TELEFÔNICO CCI-50 5 PARES, SEM BLINDAGEM, INSTALADO EM PRUMADA - FORNECIMENTO E INSTALAÇÃO. AF_11/2019</t>
  </si>
  <si>
    <t>CABO TELEFÔNICO CCI-50 6 PARES, SEM BLINDAGEM, INSTALADO EM PRUMADA - FORNECIMENTO E INSTALAÇÃO. AF_11/2019</t>
  </si>
  <si>
    <t>CABO TELEFÔNICO CCI-50 1 PAR, SEM BLINDAGEM, INSTALADO EM DISTRIBUIÇÃO DE EDIFICAÇÃO RESIDENCIAL - FORNECIMENTO E INSTALAÇÃO. AF_11/2019</t>
  </si>
  <si>
    <t>CABO TELEFÔNICO CCI-50 2 PARES, SEM BLINDAGEM, INSTALADO EM DISTRIBUIÇÃO DE EDIFICAÇÃO RESIDENCIAL - FORNECIMENTO E INSTALAÇÃO. AF_11/2019</t>
  </si>
  <si>
    <t>CABO TELEFÔNICO CCI-50 3 PARES, SEM BLINDAGEM, INSTALADO EM DISTRIBUIÇÃO DE EDIFICAÇÃO RESIDENCIAL - FORNECIMENTO E INSTALAÇÃO. AF_11/2019</t>
  </si>
  <si>
    <t>CABO TELEFÔNICO CCI-50 4 PARES, SEM BLINDAGEM, INSTALADO EM DISTRIBUIÇÃO DE EDIFICAÇÃO RESIDENCIAL - FORNECIMENTO E INSTALAÇÃO. AF_11/2019</t>
  </si>
  <si>
    <t>CABO TELEFÔNICO CCI-50 5 PARES, SEM BLINDAGEM, INSTALADO EM DISTRIBUIÇÃO DE EDIFICAÇÃO RESIDENCIAL - FORNECIMENTO E INSTALAÇÃO. AF_11/2019</t>
  </si>
  <si>
    <t>CABO TELEFÔNICO CCI-50 6 PARES, SEM BLINDAGEM, INSTALADO EM DISTRIBUIÇÃO DE EDIFICAÇÃO RESIDENCIAL - FORNECIMENTO E INSTALAÇÃO. AF_11/2019</t>
  </si>
  <si>
    <t>CABO TELEFÔNICO CCI-50 1 PAR, SEM BLINDAGEM, INSTALADO EM DISTRIBUIÇÃO DE EDIFICAÇÃO INSTITUCIONAL - FORNECIMENTO E INSTALAÇÃO. AF_11/2019</t>
  </si>
  <si>
    <t>CABO TELEFÔNICO CCI-50 2 PARES, SEM BLINDAGEM, INSTALADO EM DISTRIBUIÇÃO DE EDIFICAÇÃO INSTITUCIONAL - FORNECIMENTO E INSTALAÇÃO. AF_11/2019</t>
  </si>
  <si>
    <t>CABO TELEFÔNICO CCI-50 3 PARES, SEM BLINDAGEM, INSTALADO EM DISTRIBUIÇÃO DE EDIFICAÇÃO INSTITUCIONAL - FORNECIMENTO E INSTALAÇÃO. AF_11/2019</t>
  </si>
  <si>
    <t>CABO TELEFÔNICO CCI-50 4 PARES, SEM BLINDAGEM, INSTALADO EM DISTRIBUIÇÃO DE EDIFICAÇÃO INSTITUCIONAL - FORNECIMENTO E INSTALAÇÃO. AF_11/2019</t>
  </si>
  <si>
    <t>CABO TELEFÔNICO CCI-50 5 PARES, SEM BLINDAGEM, INSTALADO EM DISTRIBUIÇÃO DE EDIFICAÇÃO INSTITUCIONAL - FORNECIMENTO E INSTALAÇÃO. AF_11/2019</t>
  </si>
  <si>
    <t>CABO TELEFÔNICO CCI-50 6 PARES, SEM BLINDAGEM, INSTALADO EM DISTRIBUIÇÃO DE EDIFICAÇÃO INSTITUCIONAL - FORNECIMENTO E INSTALAÇÃO. AF_11/2019</t>
  </si>
  <si>
    <t>PINTURA ANTICORROSIVA DE DUTO METÁLICO. AF_04/2018</t>
  </si>
  <si>
    <t>TUBO EM COBRE FLEXÍVEL, DN 1/4, COM ISOLAMENTO, INSTALADO EM RAMAL DE ALIMENTAÇÃO DE AR CONDICIONADO COM CONDENSADORA INDIVIDUAL   FORNECIMENTO E INSTALAÇÃO. AF_12/2015</t>
  </si>
  <si>
    <t>TUBO EM COBRE FLEXÍVEL, DN 3/8", COM ISOLAMENTO, INSTALADO EM RAMAL DE ALIMENTAÇÃO DE AR CONDICIONADO COM CONDENSADORA INDIVIDUAL  FORNECIMENTO E INSTALAÇÃO. AF_12/2015</t>
  </si>
  <si>
    <t>TUBO EM COBRE FLEXÍVEL, DN 1/2", COM ISOLAMENTO, INSTALADO EM RAMAL DE ALIMENTAÇÃO DE AR CONDICIONADO COM CONDENSADORA INDIVIDUAL  FORNECIMENTO E INSTALAÇÃO. AF_12/2015</t>
  </si>
  <si>
    <t>TUBO EM COBRE FLEXÍVEL, DN 5/8", COM ISOLAMENTO, INSTALADO EM RAMAL DE ALIMENTAÇÃO DE AR CONDICIONADO COM CONDENSADORA INDIVIDUAL  FORNECIMENTO E INSTALAÇÃO. AF_12/2015</t>
  </si>
  <si>
    <t>TUBO EM COBRE FLEXÍVEL, DN 1/4", COM ISOLAMENTO, INSTALADO EM RAMAL DE ALIMENTAÇÃO DE AR CONDICIONADO COM CONDENSADORA CENTRAL  FORNECIMENTO E INSTALAÇÃO. AF_12/2015</t>
  </si>
  <si>
    <t>TUBO EM COBRE FLEXÍVEL, DN 3/8", COM ISOLAMENTO, INSTALADO EM RAMAL DE ALIMENTAÇÃO DE AR CONDICIONADO COM CONDENSADORA CENTRAL  FORNECIMENTO E INSTALAÇÃO. AF_12/2015</t>
  </si>
  <si>
    <t>TUBO EM COBRE FLEXÍVEL, DN 1/2", COM ISOLAMENTO, INSTALADO EM RAMAL DE ALIMENTAÇÃO DE AR CONDICIONADO COM CONDENSADORA CENTRAL  FORNECIMENTO E INSTALAÇÃO. AF_12/2015</t>
  </si>
  <si>
    <t>TUBO EM COBRE FLEXÍVEL, DN 5/8, COM ISOLAMENTO, INSTALADO EM RAMAL DE ALIMENTAÇÃO DE AR CONDICIONADO COM CONDENSADORA CENTRAL   FORNECIMENTO E INSTALAÇÃO. AF_12/2015</t>
  </si>
  <si>
    <t>Gabião tipo caixa 2x1x0,50m ZN/AL + PVC  (NBR 8964)</t>
  </si>
  <si>
    <t>Pedra de mão</t>
  </si>
  <si>
    <t>Gabião tipo caixa 2x1x0,50m ZN/AL (NBR 8964)</t>
  </si>
  <si>
    <t>Gabião tipo caixa 2x1x1,00m ZN/AL + PVC (NBR 8964)</t>
  </si>
  <si>
    <t>Gabião tipo caixa 2x1x1,00m ZN/AL (NBR 8964)</t>
  </si>
  <si>
    <t>Gabião tipo colchão ZN/AL + PVC e=0,17m (NBR 8964)</t>
  </si>
  <si>
    <t>Gabião tipo colchão ZN/AL + PVC e=0,23m (NBR 8964)</t>
  </si>
  <si>
    <t>Gabião tipo colchão ZN/AL + PVC e=0,30m (NBR 8964)</t>
  </si>
  <si>
    <t>Reaterro e apiloamento mecânico</t>
  </si>
  <si>
    <t>Concreto Símples Fck = 9 Mpa</t>
  </si>
  <si>
    <t>Concreto Fck = 20 Mpa</t>
  </si>
  <si>
    <t>Concreto Fck = 22 Mpa</t>
  </si>
  <si>
    <t>Concreto Fck = 24 Mpa</t>
  </si>
  <si>
    <t>Concreto Fck = 25 Mpa</t>
  </si>
  <si>
    <t>Concreto Fck = 30 Mpa</t>
  </si>
  <si>
    <t>Concreto Fck = 32 Mpa</t>
  </si>
  <si>
    <t>74022/55</t>
  </si>
  <si>
    <t>m4</t>
  </si>
  <si>
    <t>831000A</t>
  </si>
  <si>
    <t>830000A</t>
  </si>
  <si>
    <t>606600A</t>
  </si>
  <si>
    <t>606700A</t>
  </si>
  <si>
    <t>PAI-17A</t>
  </si>
  <si>
    <t>600310A</t>
  </si>
  <si>
    <t>800900A</t>
  </si>
  <si>
    <t>801100A</t>
  </si>
  <si>
    <t>600510A</t>
  </si>
  <si>
    <t>Orçacivil</t>
  </si>
  <si>
    <t>PLACA ESMALTADA PARA IDENTIFICAÇÃO NR DE RUA, DIMENSÕES 45X25CM</t>
  </si>
  <si>
    <t>841000A</t>
  </si>
  <si>
    <t>840000A</t>
  </si>
  <si>
    <t>511130A</t>
  </si>
  <si>
    <t>520100A</t>
  </si>
  <si>
    <t>520200A</t>
  </si>
  <si>
    <t>411000A</t>
  </si>
  <si>
    <t>520100B</t>
  </si>
  <si>
    <t>520200B</t>
  </si>
  <si>
    <t>411000B</t>
  </si>
  <si>
    <t>511130B</t>
  </si>
  <si>
    <t>533500A</t>
  </si>
  <si>
    <t>533500B</t>
  </si>
  <si>
    <t>533100A</t>
  </si>
  <si>
    <t>533100B</t>
  </si>
  <si>
    <t>533100C</t>
  </si>
  <si>
    <t>533100D</t>
  </si>
  <si>
    <t>511000A</t>
  </si>
  <si>
    <t>511000B</t>
  </si>
  <si>
    <t>520100C</t>
  </si>
  <si>
    <t>520100D</t>
  </si>
  <si>
    <t>520100E</t>
  </si>
  <si>
    <t>520100F</t>
  </si>
  <si>
    <t>520100G</t>
  </si>
  <si>
    <t>520100H</t>
  </si>
  <si>
    <t>400500A</t>
  </si>
  <si>
    <t>532600A</t>
  </si>
  <si>
    <t>532600B</t>
  </si>
  <si>
    <t>532600C</t>
  </si>
  <si>
    <t>511100A</t>
  </si>
  <si>
    <t>511100B</t>
  </si>
  <si>
    <t>511300A</t>
  </si>
  <si>
    <t>511300B</t>
  </si>
  <si>
    <t xml:space="preserve">  </t>
  </si>
  <si>
    <t>560100D</t>
  </si>
  <si>
    <t>PAV-085</t>
  </si>
  <si>
    <t>535200A</t>
  </si>
  <si>
    <t>535200B</t>
  </si>
  <si>
    <t>535200C</t>
  </si>
  <si>
    <t>521450A</t>
  </si>
  <si>
    <t>521450B</t>
  </si>
  <si>
    <t>521450C</t>
  </si>
  <si>
    <t>521450D</t>
  </si>
  <si>
    <t>521450E</t>
  </si>
  <si>
    <t>521450F</t>
  </si>
  <si>
    <t>521450G</t>
  </si>
  <si>
    <t>521450H</t>
  </si>
  <si>
    <t>535000A</t>
  </si>
  <si>
    <t>521450I</t>
  </si>
  <si>
    <t>863000A</t>
  </si>
  <si>
    <t>863000B</t>
  </si>
  <si>
    <t>534906A</t>
  </si>
  <si>
    <t>534906B</t>
  </si>
  <si>
    <t>101090A</t>
  </si>
  <si>
    <t>863000C</t>
  </si>
  <si>
    <t>863000D</t>
  </si>
  <si>
    <t>534906G</t>
  </si>
  <si>
    <t>534906H</t>
  </si>
  <si>
    <t>534906I</t>
  </si>
  <si>
    <t>534906J</t>
  </si>
  <si>
    <t>534906K</t>
  </si>
  <si>
    <t>534906L</t>
  </si>
  <si>
    <t>534908G</t>
  </si>
  <si>
    <t>534908H</t>
  </si>
  <si>
    <t>101090B</t>
  </si>
  <si>
    <t>562100A</t>
  </si>
  <si>
    <t>562100B</t>
  </si>
  <si>
    <t>562200A</t>
  </si>
  <si>
    <t>562200B</t>
  </si>
  <si>
    <t>PAV-003A</t>
  </si>
  <si>
    <t>PAV-005A</t>
  </si>
  <si>
    <t>PAV-003B</t>
  </si>
  <si>
    <t>PAV-005B</t>
  </si>
  <si>
    <t>589420A</t>
  </si>
  <si>
    <t>Imprimação com Emulsão RR-1C- exclusive emulsão</t>
  </si>
  <si>
    <t>589420D</t>
  </si>
  <si>
    <t>589520A</t>
  </si>
  <si>
    <t>589520B</t>
  </si>
  <si>
    <t>589520C</t>
  </si>
  <si>
    <t>589520D</t>
  </si>
  <si>
    <t>589520E</t>
  </si>
  <si>
    <t>589520F</t>
  </si>
  <si>
    <t>589520G</t>
  </si>
  <si>
    <t>589520H</t>
  </si>
  <si>
    <t>589520I</t>
  </si>
  <si>
    <t>589170A</t>
  </si>
  <si>
    <t>589170B</t>
  </si>
  <si>
    <t>589170C</t>
  </si>
  <si>
    <t>589170D</t>
  </si>
  <si>
    <t>Fornecimento de emulsão RR-2C - TSD com Capa Selante Tipo - I-2</t>
  </si>
  <si>
    <t>589520J</t>
  </si>
  <si>
    <t>Fornecimento de Emulsão RM-2C - Pré-Misturado a Frio (Denso) - DER</t>
  </si>
  <si>
    <t>534000C</t>
  </si>
  <si>
    <t>534300D</t>
  </si>
  <si>
    <t>534300E</t>
  </si>
  <si>
    <t>534300F</t>
  </si>
  <si>
    <t>534300G</t>
  </si>
  <si>
    <t>534300H</t>
  </si>
  <si>
    <t>589320F</t>
  </si>
  <si>
    <t>589320H</t>
  </si>
  <si>
    <t>589320I</t>
  </si>
  <si>
    <t>589320J</t>
  </si>
  <si>
    <t>589320K</t>
  </si>
  <si>
    <t>589320L</t>
  </si>
  <si>
    <t>589320M</t>
  </si>
  <si>
    <t>589320N</t>
  </si>
  <si>
    <t>589320O</t>
  </si>
  <si>
    <t>589320P</t>
  </si>
  <si>
    <t>589190A</t>
  </si>
  <si>
    <t>589190B</t>
  </si>
  <si>
    <t>831000B</t>
  </si>
  <si>
    <t>830000B</t>
  </si>
  <si>
    <t>606600B</t>
  </si>
  <si>
    <t>606600C</t>
  </si>
  <si>
    <t>606600D</t>
  </si>
  <si>
    <t>.</t>
  </si>
  <si>
    <t>606700B</t>
  </si>
  <si>
    <t>606700C</t>
  </si>
  <si>
    <t>606700D</t>
  </si>
  <si>
    <t>810250D</t>
  </si>
  <si>
    <t>810250E</t>
  </si>
  <si>
    <t>810250F</t>
  </si>
  <si>
    <t>810250G</t>
  </si>
  <si>
    <t>PAI-17B</t>
  </si>
  <si>
    <t>600310B</t>
  </si>
  <si>
    <t>600310C</t>
  </si>
  <si>
    <t>800900B</t>
  </si>
  <si>
    <t>801100B</t>
  </si>
  <si>
    <t>600510B</t>
  </si>
  <si>
    <t>COMPOSIÇÃO1</t>
  </si>
  <si>
    <t>841000B</t>
  </si>
  <si>
    <t>840000B</t>
  </si>
  <si>
    <t>97623A</t>
  </si>
  <si>
    <t xml:space="preserve">DEMOLIÇÃO DE ALVENARIA DE TIJOLO  COM REAPROVEITAMENTO. </t>
  </si>
  <si>
    <t>97624A</t>
  </si>
  <si>
    <t>DEMOLIÇÃO DE ALVENARIA DE TIJOLO SEM APROVEITAMENTO</t>
  </si>
  <si>
    <t>606500A</t>
  </si>
  <si>
    <t>97623B</t>
  </si>
  <si>
    <t>97624B</t>
  </si>
  <si>
    <t>606500B</t>
  </si>
  <si>
    <t>97623C</t>
  </si>
  <si>
    <t>97624C</t>
  </si>
  <si>
    <t>606500C</t>
  </si>
  <si>
    <t>532500A</t>
  </si>
  <si>
    <t>532500B</t>
  </si>
  <si>
    <t>532500C</t>
  </si>
  <si>
    <t>532500D</t>
  </si>
  <si>
    <t>603900C</t>
  </si>
  <si>
    <t>603900B</t>
  </si>
  <si>
    <t>603900A</t>
  </si>
  <si>
    <t>400500B</t>
  </si>
  <si>
    <t>Colchão de Areia para fundação de Aterro( Rio / Jazida )</t>
  </si>
  <si>
    <t>Colchão de Areia para assentamento de calçadas</t>
  </si>
  <si>
    <t>Colchão de Argila/saibro/matr. jazida para assentamento de calçadas</t>
  </si>
  <si>
    <t>Colchão de pó de pedra para assentamento de calçadas</t>
  </si>
  <si>
    <t>400500C</t>
  </si>
  <si>
    <t>603900D</t>
  </si>
  <si>
    <t>532500E</t>
  </si>
  <si>
    <t>603900E</t>
  </si>
  <si>
    <t>400500D</t>
  </si>
  <si>
    <t>532500F</t>
  </si>
  <si>
    <t>603900F</t>
  </si>
  <si>
    <t>532500G</t>
  </si>
  <si>
    <t>603900G</t>
  </si>
  <si>
    <t>100576A</t>
  </si>
  <si>
    <t>100576B</t>
  </si>
  <si>
    <t>530200A</t>
  </si>
  <si>
    <t>530200B</t>
  </si>
  <si>
    <t>530200C</t>
  </si>
  <si>
    <t>530200D</t>
  </si>
  <si>
    <t>560400B</t>
  </si>
  <si>
    <t>589100B</t>
  </si>
  <si>
    <t>561100B</t>
  </si>
  <si>
    <t>535000B</t>
  </si>
  <si>
    <t>583100A</t>
  </si>
  <si>
    <t>583100B</t>
  </si>
  <si>
    <t>583100C</t>
  </si>
  <si>
    <t>584200A</t>
  </si>
  <si>
    <t>584200B</t>
  </si>
  <si>
    <t>584200C</t>
  </si>
  <si>
    <t>589000A</t>
  </si>
  <si>
    <t>589000B</t>
  </si>
  <si>
    <t>589000C</t>
  </si>
  <si>
    <t>589000D</t>
  </si>
  <si>
    <t>589000E</t>
  </si>
  <si>
    <t>589000F</t>
  </si>
  <si>
    <t>589000G</t>
  </si>
  <si>
    <t>589000H</t>
  </si>
  <si>
    <t>589000I</t>
  </si>
  <si>
    <t>589000J</t>
  </si>
  <si>
    <t>589000K</t>
  </si>
  <si>
    <t>589000L</t>
  </si>
  <si>
    <t>589000M</t>
  </si>
  <si>
    <t>589000N</t>
  </si>
  <si>
    <t>589000P</t>
  </si>
  <si>
    <t>589000Q</t>
  </si>
  <si>
    <t>534000D</t>
  </si>
  <si>
    <t>534000E</t>
  </si>
  <si>
    <t>534000F</t>
  </si>
  <si>
    <t>589320G</t>
  </si>
  <si>
    <t>534300A</t>
  </si>
  <si>
    <t>534300B</t>
  </si>
  <si>
    <t>534300C</t>
  </si>
  <si>
    <t>534300I</t>
  </si>
  <si>
    <t>534300J</t>
  </si>
  <si>
    <t>570300A</t>
  </si>
  <si>
    <t>570300B</t>
  </si>
  <si>
    <t>570310A</t>
  </si>
  <si>
    <t>570310B</t>
  </si>
  <si>
    <t>570000A</t>
  </si>
  <si>
    <t>570000B</t>
  </si>
  <si>
    <t>570000C</t>
  </si>
  <si>
    <t>570000D</t>
  </si>
  <si>
    <t>570000E</t>
  </si>
  <si>
    <t>601100A</t>
  </si>
  <si>
    <t>601100B</t>
  </si>
  <si>
    <t>602100A</t>
  </si>
  <si>
    <t>602100B</t>
  </si>
  <si>
    <t>602100C</t>
  </si>
  <si>
    <t>603000A</t>
  </si>
  <si>
    <t>603000B</t>
  </si>
  <si>
    <t>603000C</t>
  </si>
  <si>
    <t>603300A</t>
  </si>
  <si>
    <t>603300B</t>
  </si>
  <si>
    <t>603300C</t>
  </si>
  <si>
    <t>605000F</t>
  </si>
  <si>
    <t>605000G</t>
  </si>
  <si>
    <t>605000H</t>
  </si>
  <si>
    <t>605000I</t>
  </si>
  <si>
    <t>605000J</t>
  </si>
  <si>
    <t>605000K</t>
  </si>
  <si>
    <t>605000L</t>
  </si>
  <si>
    <t>605000M</t>
  </si>
  <si>
    <t>605000N</t>
  </si>
  <si>
    <t>605000O</t>
  </si>
  <si>
    <t>570400A</t>
  </si>
  <si>
    <t>570400B</t>
  </si>
  <si>
    <t>570400C</t>
  </si>
  <si>
    <t>570400D</t>
  </si>
  <si>
    <t>531000A</t>
  </si>
  <si>
    <t>531000B</t>
  </si>
  <si>
    <t>563100A</t>
  </si>
  <si>
    <t>563100B</t>
  </si>
  <si>
    <t>823000A</t>
  </si>
  <si>
    <t>823000B</t>
  </si>
  <si>
    <t>820000J</t>
  </si>
  <si>
    <t>606000A</t>
  </si>
  <si>
    <t>606000B</t>
  </si>
  <si>
    <t>605200A</t>
  </si>
  <si>
    <t>605200B</t>
  </si>
  <si>
    <t>605400A</t>
  </si>
  <si>
    <t>605400B</t>
  </si>
  <si>
    <t>603700A</t>
  </si>
  <si>
    <t>603800A</t>
  </si>
  <si>
    <t>603700B</t>
  </si>
  <si>
    <t>603800B</t>
  </si>
  <si>
    <t>600000A</t>
  </si>
  <si>
    <t>600000B</t>
  </si>
  <si>
    <t>633000A</t>
  </si>
  <si>
    <t>633000B</t>
  </si>
  <si>
    <t>633100A</t>
  </si>
  <si>
    <t>633200A</t>
  </si>
  <si>
    <t>633100B</t>
  </si>
  <si>
    <t>633200B</t>
  </si>
  <si>
    <t>601200A</t>
  </si>
  <si>
    <t>601200B</t>
  </si>
  <si>
    <t>620000A</t>
  </si>
  <si>
    <t>620000B</t>
  </si>
  <si>
    <t>620000C</t>
  </si>
  <si>
    <t>620100A</t>
  </si>
  <si>
    <t>620100B</t>
  </si>
  <si>
    <t>620100C</t>
  </si>
  <si>
    <t>620100D</t>
  </si>
  <si>
    <t>620200A</t>
  </si>
  <si>
    <t>620200B</t>
  </si>
  <si>
    <t>620200C</t>
  </si>
  <si>
    <t>610400A</t>
  </si>
  <si>
    <t>610400B</t>
  </si>
  <si>
    <t>610400C</t>
  </si>
  <si>
    <t>610400D</t>
  </si>
  <si>
    <t>610600A</t>
  </si>
  <si>
    <t>610600B</t>
  </si>
  <si>
    <t>610600C</t>
  </si>
  <si>
    <t>610600D</t>
  </si>
  <si>
    <t>610600E</t>
  </si>
  <si>
    <t>610600F</t>
  </si>
  <si>
    <t>610800A</t>
  </si>
  <si>
    <t>610800B</t>
  </si>
  <si>
    <t>610800C</t>
  </si>
  <si>
    <t>610800D</t>
  </si>
  <si>
    <t>610800E</t>
  </si>
  <si>
    <t>610700A</t>
  </si>
  <si>
    <t>610700B</t>
  </si>
  <si>
    <t>610900A</t>
  </si>
  <si>
    <t>610900B</t>
  </si>
  <si>
    <t>611000A</t>
  </si>
  <si>
    <t>611000B</t>
  </si>
  <si>
    <t>611000C</t>
  </si>
  <si>
    <t>611000D</t>
  </si>
  <si>
    <t>611200A</t>
  </si>
  <si>
    <t>611200B</t>
  </si>
  <si>
    <t>611400A</t>
  </si>
  <si>
    <t>611400B</t>
  </si>
  <si>
    <t>611400C</t>
  </si>
  <si>
    <t>611400D</t>
  </si>
  <si>
    <t>611600A</t>
  </si>
  <si>
    <t>611600B</t>
  </si>
  <si>
    <t>611100A</t>
  </si>
  <si>
    <t>611100B</t>
  </si>
  <si>
    <t>611500A</t>
  </si>
  <si>
    <t>611500B</t>
  </si>
  <si>
    <t>Ensaio de Tração por Compressão Diametral - Misturas Betuminosas</t>
  </si>
  <si>
    <t>Extração de Corpo de Prova de Concreto Asfáltico com Sonda Rotativa</t>
  </si>
  <si>
    <t>Mobilização e Desmobilização de Equipamento e Equipe para Extração de Corpos de Prova da Capa Asfáltica</t>
  </si>
  <si>
    <t>SFM</t>
  </si>
  <si>
    <t>PAM</t>
  </si>
  <si>
    <r>
      <rPr>
        <b/>
        <sz val="12"/>
        <rFont val="Arial"/>
        <family val="2"/>
      </rPr>
      <t>CBUQ - CAPA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Traço 1</t>
    </r>
    <r>
      <rPr>
        <sz val="10"/>
        <rFont val="Arial"/>
        <family val="2"/>
      </rPr>
      <t xml:space="preserve"> (Quantidade menor que 10000 toneladas)</t>
    </r>
  </si>
  <si>
    <r>
      <rPr>
        <b/>
        <sz val="12"/>
        <rFont val="Arial"/>
        <family val="2"/>
      </rPr>
      <t>CBUQ - CAPA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Traço 2</t>
    </r>
    <r>
      <rPr>
        <sz val="10"/>
        <rFont val="Arial"/>
        <family val="2"/>
      </rPr>
      <t xml:space="preserve"> (Quantidade menor que 10000 toneladas)</t>
    </r>
  </si>
  <si>
    <r>
      <rPr>
        <b/>
        <sz val="12"/>
        <rFont val="Arial"/>
        <family val="2"/>
      </rPr>
      <t>CBUQ - CAPA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Traço 3</t>
    </r>
    <r>
      <rPr>
        <sz val="10"/>
        <rFont val="Arial"/>
        <family val="2"/>
      </rPr>
      <t xml:space="preserve"> (Quantidade menor que 10000 toneladas)</t>
    </r>
  </si>
  <si>
    <r>
      <rPr>
        <b/>
        <sz val="12"/>
        <rFont val="Arial"/>
        <family val="2"/>
      </rPr>
      <t xml:space="preserve">CBUQ - CAPA Traço 1 </t>
    </r>
    <r>
      <rPr>
        <sz val="10"/>
        <rFont val="Arial"/>
        <family val="2"/>
      </rPr>
      <t>(Quantidade maior que 10000 toneladas)</t>
    </r>
  </si>
  <si>
    <r>
      <rPr>
        <b/>
        <sz val="12"/>
        <rFont val="Arial"/>
        <family val="2"/>
      </rPr>
      <t xml:space="preserve">CBUQ - CAPA Traço 2 </t>
    </r>
    <r>
      <rPr>
        <sz val="10"/>
        <rFont val="Arial"/>
        <family val="2"/>
      </rPr>
      <t>(Quantidade maior que 10000 toneladas)</t>
    </r>
  </si>
  <si>
    <r>
      <rPr>
        <b/>
        <sz val="12"/>
        <rFont val="Arial"/>
        <family val="2"/>
      </rPr>
      <t xml:space="preserve">CBUQ - CAPA Traço 3 </t>
    </r>
    <r>
      <rPr>
        <sz val="10"/>
        <rFont val="Arial"/>
        <family val="2"/>
      </rPr>
      <t>(Quantidade maior que 10000 toneladas)</t>
    </r>
  </si>
  <si>
    <t>taxa EAI</t>
  </si>
  <si>
    <t>taxa CM-30</t>
  </si>
  <si>
    <t>SERVIÇOS EXTRAS - SERVIÇOS DE URBANIZAÇÃO</t>
  </si>
  <si>
    <t>CBUQ c/ asfalto com BORRACHA - AB8</t>
  </si>
  <si>
    <t>Fornecimento de ASFALTO-BORRACHA - CBUQ com borracha - AB8</t>
  </si>
  <si>
    <t>CBUQ c/ asfalto com BORRACHA - AB22</t>
  </si>
  <si>
    <t>Fornecimento de ASFALTO-BORRACHA - CBUQ com borracha - AB22</t>
  </si>
  <si>
    <t>Assis Chateaubriand</t>
  </si>
  <si>
    <t>60</t>
  </si>
  <si>
    <t>ATERRO MECANIZADO DE VALA COM ESCAVADEIRA HIDRÁULICA (CAPACIDADE DA CAÇAMBA: 0,8 M³ / POTÊNCIA: 111 HP), LARGURA DE 1,5 A 2,5 M, PROFUNDIDADE ATÉ 1,5 M, COM SOLO ARGILO-ARENOSO. AF_05/2016</t>
  </si>
  <si>
    <t>EXECUÇÃO DE PASSEIO (CALÇADA) OU PISO DE CONCRETO COM CONCRETO MOLDADO IN LOCO, FEITO EM OBRA, ACABAMENTO CONVENCIONAL, ESPESSURA 8 CM, ARMADO. AF_07/2016</t>
  </si>
  <si>
    <t>SINAPI-I</t>
  </si>
  <si>
    <t>Eng. Civil Anne Caroline Bello</t>
  </si>
  <si>
    <t>Valter Aparecido Souza Correa</t>
  </si>
  <si>
    <t>10775</t>
  </si>
  <si>
    <t xml:space="preserve"> LOCAÇÃO DE CONTAINER 2,3 X 6,00 M, ALT 2,50 M. COM 1 SANITÁRIO, PARA ESCRITORIO COMPLETO, SEM DIVISÓRIAS INTERNAS (NÃO INCLUI MOBILIZAÇÃO/DESMOBILIZAÇÃO)</t>
  </si>
  <si>
    <t>DER fevereiro 2022 (Ligantes fevereiro/2022)</t>
  </si>
  <si>
    <t>SERVIÇOS EXTRAS - TERRAPLANAGEM</t>
  </si>
  <si>
    <t>TRANSPORTE COM CAMINHÃO BASCULANTE DE 10 M³, EM VIA URBANA PAVIMENTADA, DMT ATÉ 30 KM (UNIDADE: M3XKM). AF_07/2020 - TRANSPORTE DO ENTULHO</t>
  </si>
  <si>
    <t>TRANSPORTE COM CAMINHÃO BASCULANTE DE 10 M³, EM VIA URBANA PAVIMENTADA, DMT ATÉ 30 KM (UNIDADE: M3XKM). AF_07/2020 - TRANSPORTE DA REMOÇÃO DO REVESTIMENTO PRIMÁRIO</t>
  </si>
  <si>
    <t>TRANSPORTE COM CAMINHÃO BASCULANTE DE 10 M³, EM VIA URBANA PAVIMENTADA, DMT ATÉ 30 KM (UNIDADE: M3XKM). AF_07/2020 - TRANSPORTE DO CBUQ</t>
  </si>
  <si>
    <t>TRANSPORTE COM CAMINHÃO BASCULANTE DE 10 M³, EM VIA URBANA PAVIMENTADA, ADICIONAL PARA DMT EXCEDENTE A 30 KM (UNIDADE: M3XKM). AF_07/2020 - TRANSPORTE DO CBUQ (20 KM)</t>
  </si>
  <si>
    <t>TRANSPORTE COM CAMINHÃO BASCULANTE DE 10 M³, EM VIA URBANA PAVIMENTADA, DMT ATÉ 30 KM (UNIDADE: M3XKM). AF_07/2020 - TRANSPORTE DA BRITA</t>
  </si>
  <si>
    <t>95875</t>
  </si>
  <si>
    <t>93590</t>
  </si>
  <si>
    <t>X</t>
  </si>
  <si>
    <t>Ciclovia - Av. Itália</t>
  </si>
  <si>
    <t>Jardim Europa</t>
  </si>
  <si>
    <t>Ciclovia</t>
  </si>
</sst>
</file>

<file path=xl/styles.xml><?xml version="1.0" encoding="utf-8"?>
<styleSheet xmlns="http://schemas.openxmlformats.org/spreadsheetml/2006/main">
  <numFmts count="10">
    <numFmt numFmtId="43" formatCode="_-* #,##0.00_-;\-* #,##0.00_-;_-* &quot;-&quot;??_-;_-@_-"/>
    <numFmt numFmtId="164" formatCode="_(* #,##0.00_);_(* \(#,##0.00\);_(* &quot;-&quot;??_);_(@_)"/>
    <numFmt numFmtId="165" formatCode="&quot;R$&quot;#,##0.00_);\(&quot;R$&quot;#,##0.00\)"/>
    <numFmt numFmtId="166" formatCode="0.000"/>
    <numFmt numFmtId="167" formatCode="0.0000"/>
    <numFmt numFmtId="168" formatCode="#,##0.00\ &quot;/m2&quot;_);[Red]\(#,##0.00\ &quot;/m2&quot;\)"/>
    <numFmt numFmtId="169" formatCode="0.0%"/>
    <numFmt numFmtId="170" formatCode="d/m/yy;@"/>
    <numFmt numFmtId="171" formatCode="#,##0.00\ &quot;m2&quot;"/>
    <numFmt numFmtId="172" formatCode="#,##0_ ;[Red]\-#,##0\ "/>
  </numFmts>
  <fonts count="48">
    <font>
      <sz val="8"/>
      <name val="Arial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color indexed="8"/>
      <name val="Arial"/>
      <family val="2"/>
    </font>
    <font>
      <sz val="10"/>
      <color theme="0"/>
      <name val="Arial"/>
      <family val="2"/>
    </font>
    <font>
      <sz val="10"/>
      <color indexed="9"/>
      <name val="Arial"/>
      <family val="2"/>
    </font>
    <font>
      <b/>
      <sz val="10"/>
      <color indexed="10"/>
      <name val="Arial"/>
      <family val="2"/>
    </font>
    <font>
      <b/>
      <sz val="10"/>
      <color theme="1"/>
      <name val="Arial"/>
      <family val="2"/>
    </font>
    <font>
      <sz val="10"/>
      <color indexed="8"/>
      <name val="Arial"/>
      <family val="2"/>
    </font>
    <font>
      <b/>
      <sz val="10"/>
      <color indexed="12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b/>
      <sz val="16"/>
      <color theme="1"/>
      <name val="Arial"/>
      <family val="2"/>
    </font>
    <font>
      <sz val="10"/>
      <name val="MS Sans Serif"/>
    </font>
    <font>
      <b/>
      <sz val="16"/>
      <name val="Arial"/>
      <family val="2"/>
    </font>
    <font>
      <sz val="8"/>
      <name val="MS Sans Serif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4"/>
      <color theme="3" tint="0.39997558519241921"/>
      <name val="Arial"/>
      <family val="2"/>
    </font>
    <font>
      <b/>
      <sz val="10"/>
      <name val="MS Sans Serif"/>
    </font>
    <font>
      <b/>
      <sz val="8"/>
      <name val="MS Sans Serif"/>
    </font>
    <font>
      <sz val="10"/>
      <name val="Algerian"/>
      <family val="5"/>
    </font>
    <font>
      <b/>
      <sz val="20"/>
      <name val="Arial"/>
      <family val="2"/>
    </font>
    <font>
      <b/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  <font>
      <sz val="8"/>
      <color indexed="9"/>
      <name val="Times New Roman"/>
      <family val="1"/>
    </font>
    <font>
      <b/>
      <sz val="16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indexed="12"/>
      <name val="Arial"/>
      <family val="2"/>
    </font>
    <font>
      <b/>
      <sz val="8"/>
      <color indexed="12"/>
      <name val="Arial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4"/>
      <color rgb="FF0000FF"/>
      <name val="Arial"/>
      <family val="2"/>
    </font>
    <font>
      <sz val="14"/>
      <color rgb="FF0000FF"/>
      <name val="Arial"/>
      <family val="2"/>
    </font>
    <font>
      <b/>
      <sz val="10"/>
      <color rgb="FFFF0000"/>
      <name val="MS Sans Serif"/>
    </font>
    <font>
      <b/>
      <sz val="12"/>
      <color rgb="FFFF0000"/>
      <name val="Arial"/>
      <family val="2"/>
    </font>
    <font>
      <b/>
      <sz val="14"/>
      <color rgb="FFFF0000"/>
      <name val="Arial"/>
      <family val="2"/>
    </font>
    <font>
      <sz val="11"/>
      <color theme="3" tint="0.39997558519241921"/>
      <name val="Arial"/>
      <family val="2"/>
    </font>
    <font>
      <sz val="8"/>
      <color indexed="9"/>
      <name val="Arial"/>
      <family val="2"/>
    </font>
    <font>
      <sz val="10"/>
      <color rgb="FFFF0000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8168889431442"/>
        <bgColor indexed="64"/>
      </patternFill>
    </fill>
  </fills>
  <borders count="16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dashDotDot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dashDotDot">
        <color auto="1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ashDotDot">
        <color indexed="64"/>
      </right>
      <top style="medium">
        <color indexed="64"/>
      </top>
      <bottom style="thin">
        <color indexed="64"/>
      </bottom>
      <diagonal/>
    </border>
    <border>
      <left style="dashDotDot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/>
      <right style="dashDotDot">
        <color indexed="64"/>
      </right>
      <top style="medium">
        <color indexed="64"/>
      </top>
      <bottom/>
      <diagonal/>
    </border>
    <border>
      <left/>
      <right style="dashDotDot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dashDotDot">
        <color auto="1"/>
      </bottom>
      <diagonal/>
    </border>
    <border>
      <left/>
      <right/>
      <top style="hair">
        <color indexed="64"/>
      </top>
      <bottom style="dashDotDot">
        <color auto="1"/>
      </bottom>
      <diagonal/>
    </border>
    <border>
      <left/>
      <right style="hair">
        <color indexed="64"/>
      </right>
      <top style="hair">
        <color indexed="64"/>
      </top>
      <bottom style="dashDotDot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8">
    <xf numFmtId="0" fontId="0" fillId="0" borderId="0"/>
    <xf numFmtId="0" fontId="4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18" fillId="0" borderId="0"/>
    <xf numFmtId="0" fontId="21" fillId="0" borderId="0"/>
    <xf numFmtId="43" fontId="21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</cellStyleXfs>
  <cellXfs count="831">
    <xf numFmtId="0" fontId="0" fillId="0" borderId="0" xfId="0"/>
    <xf numFmtId="0" fontId="2" fillId="2" borderId="9" xfId="0" applyFont="1" applyFill="1" applyBorder="1" applyAlignment="1">
      <alignment horizontal="left"/>
    </xf>
    <xf numFmtId="1" fontId="7" fillId="2" borderId="7" xfId="1" applyNumberFormat="1" applyFont="1" applyFill="1" applyBorder="1" applyAlignment="1">
      <alignment horizontal="center"/>
    </xf>
    <xf numFmtId="0" fontId="4" fillId="0" borderId="0" xfId="0" applyFont="1"/>
    <xf numFmtId="165" fontId="5" fillId="0" borderId="28" xfId="1" applyNumberFormat="1" applyFont="1" applyFill="1" applyBorder="1" applyAlignment="1">
      <alignment horizontal="center" vertical="center" wrapText="1"/>
    </xf>
    <xf numFmtId="4" fontId="5" fillId="0" borderId="37" xfId="1" applyNumberFormat="1" applyFont="1" applyFill="1" applyBorder="1" applyAlignment="1">
      <alignment vertical="center"/>
    </xf>
    <xf numFmtId="0" fontId="5" fillId="0" borderId="26" xfId="1" applyFont="1" applyFill="1" applyBorder="1" applyAlignment="1">
      <alignment horizontal="left" vertical="center"/>
    </xf>
    <xf numFmtId="49" fontId="12" fillId="0" borderId="26" xfId="4" applyNumberFormat="1" applyFont="1" applyFill="1" applyBorder="1" applyAlignment="1" applyProtection="1">
      <alignment horizontal="centerContinuous" vertical="center"/>
    </xf>
    <xf numFmtId="0" fontId="4" fillId="0" borderId="26" xfId="4" applyFont="1" applyFill="1" applyBorder="1" applyAlignment="1">
      <alignment horizontal="centerContinuous" vertical="center"/>
    </xf>
    <xf numFmtId="0" fontId="4" fillId="0" borderId="37" xfId="4" applyFont="1" applyFill="1" applyBorder="1" applyAlignment="1">
      <alignment horizontal="centerContinuous" vertical="center"/>
    </xf>
    <xf numFmtId="0" fontId="4" fillId="0" borderId="0" xfId="4" applyFont="1"/>
    <xf numFmtId="165" fontId="5" fillId="0" borderId="37" xfId="1" applyNumberFormat="1" applyFont="1" applyFill="1" applyBorder="1" applyAlignment="1">
      <alignment horizontal="center" vertical="center"/>
    </xf>
    <xf numFmtId="0" fontId="4" fillId="0" borderId="0" xfId="4" applyFont="1" applyFill="1"/>
    <xf numFmtId="0" fontId="9" fillId="0" borderId="3" xfId="4" applyFont="1" applyFill="1" applyBorder="1" applyAlignment="1">
      <alignment horizontal="left" vertical="center"/>
    </xf>
    <xf numFmtId="0" fontId="9" fillId="0" borderId="26" xfId="4" applyFont="1" applyFill="1" applyBorder="1" applyAlignment="1">
      <alignment horizontal="left" vertical="center"/>
    </xf>
    <xf numFmtId="10" fontId="5" fillId="0" borderId="37" xfId="5" applyNumberFormat="1" applyFont="1" applyFill="1" applyBorder="1" applyAlignment="1">
      <alignment vertical="center"/>
    </xf>
    <xf numFmtId="0" fontId="5" fillId="0" borderId="68" xfId="4" applyFont="1" applyFill="1" applyBorder="1" applyAlignment="1">
      <alignment horizontal="left" vertical="center"/>
    </xf>
    <xf numFmtId="0" fontId="4" fillId="0" borderId="69" xfId="4" applyFont="1" applyFill="1" applyBorder="1" applyAlignment="1">
      <alignment horizontal="left" vertical="center"/>
    </xf>
    <xf numFmtId="0" fontId="5" fillId="0" borderId="70" xfId="1" applyFont="1" applyFill="1" applyBorder="1" applyAlignment="1">
      <alignment horizontal="center" vertical="center" wrapText="1"/>
    </xf>
    <xf numFmtId="0" fontId="4" fillId="0" borderId="16" xfId="4" applyFont="1" applyFill="1" applyBorder="1" applyAlignment="1">
      <alignment horizontal="left" vertical="center"/>
    </xf>
    <xf numFmtId="0" fontId="4" fillId="0" borderId="11" xfId="4" applyFont="1" applyFill="1" applyBorder="1" applyAlignment="1">
      <alignment horizontal="left" vertical="center"/>
    </xf>
    <xf numFmtId="4" fontId="5" fillId="4" borderId="37" xfId="1" applyNumberFormat="1" applyFont="1" applyFill="1" applyBorder="1" applyAlignment="1">
      <alignment vertical="center"/>
    </xf>
    <xf numFmtId="0" fontId="2" fillId="2" borderId="8" xfId="0" applyFont="1" applyFill="1" applyBorder="1" applyAlignment="1">
      <alignment horizontal="left"/>
    </xf>
    <xf numFmtId="1" fontId="7" fillId="2" borderId="6" xfId="1" applyNumberFormat="1" applyFont="1" applyFill="1" applyBorder="1" applyAlignment="1">
      <alignment horizontal="center"/>
    </xf>
    <xf numFmtId="2" fontId="6" fillId="2" borderId="0" xfId="0" applyNumberFormat="1" applyFont="1" applyFill="1" applyAlignment="1">
      <alignment horizontal="center"/>
    </xf>
    <xf numFmtId="166" fontId="6" fillId="2" borderId="0" xfId="0" applyNumberFormat="1" applyFont="1" applyFill="1" applyAlignment="1">
      <alignment horizontal="center"/>
    </xf>
    <xf numFmtId="2" fontId="7" fillId="2" borderId="0" xfId="0" applyNumberFormat="1" applyFont="1" applyFill="1" applyAlignment="1">
      <alignment horizontal="center"/>
    </xf>
    <xf numFmtId="0" fontId="7" fillId="2" borderId="0" xfId="0" applyFont="1" applyFill="1"/>
    <xf numFmtId="0" fontId="7" fillId="2" borderId="0" xfId="0" applyFont="1" applyFill="1" applyAlignment="1">
      <alignment horizontal="center"/>
    </xf>
    <xf numFmtId="0" fontId="18" fillId="0" borderId="0" xfId="6"/>
    <xf numFmtId="4" fontId="4" fillId="5" borderId="29" xfId="0" applyNumberFormat="1" applyFont="1" applyFill="1" applyBorder="1" applyAlignment="1" applyProtection="1">
      <alignment vertical="center"/>
      <protection locked="0"/>
    </xf>
    <xf numFmtId="0" fontId="4" fillId="0" borderId="0" xfId="13" applyProtection="1">
      <protection locked="0"/>
    </xf>
    <xf numFmtId="0" fontId="6" fillId="2" borderId="8" xfId="0" applyFont="1" applyFill="1" applyBorder="1" applyAlignment="1">
      <alignment horizontal="left"/>
    </xf>
    <xf numFmtId="0" fontId="6" fillId="2" borderId="9" xfId="0" applyFont="1" applyFill="1" applyBorder="1" applyAlignment="1">
      <alignment horizontal="left"/>
    </xf>
    <xf numFmtId="167" fontId="7" fillId="2" borderId="6" xfId="1" applyNumberFormat="1" applyFont="1" applyFill="1" applyBorder="1" applyAlignment="1">
      <alignment horizontal="center"/>
    </xf>
    <xf numFmtId="0" fontId="0" fillId="2" borderId="0" xfId="0" applyFill="1"/>
    <xf numFmtId="49" fontId="17" fillId="0" borderId="3" xfId="4" applyNumberFormat="1" applyFont="1" applyFill="1" applyBorder="1" applyAlignment="1" applyProtection="1">
      <alignment horizontal="centerContinuous" vertical="center"/>
    </xf>
    <xf numFmtId="0" fontId="5" fillId="4" borderId="71" xfId="1" applyFont="1" applyFill="1" applyBorder="1" applyAlignment="1">
      <alignment horizontal="center" vertical="center"/>
    </xf>
    <xf numFmtId="4" fontId="5" fillId="0" borderId="88" xfId="1" applyNumberFormat="1" applyFont="1" applyFill="1" applyBorder="1" applyAlignment="1">
      <alignment horizontal="center" vertical="center" wrapText="1"/>
    </xf>
    <xf numFmtId="4" fontId="5" fillId="7" borderId="89" xfId="3" applyNumberFormat="1" applyFont="1" applyFill="1" applyBorder="1" applyAlignment="1">
      <alignment horizontal="center" vertical="center"/>
    </xf>
    <xf numFmtId="0" fontId="30" fillId="0" borderId="90" xfId="13" applyFont="1" applyBorder="1" applyAlignment="1">
      <alignment horizontal="center"/>
    </xf>
    <xf numFmtId="1" fontId="30" fillId="0" borderId="91" xfId="13" applyNumberFormat="1" applyFont="1" applyBorder="1" applyAlignment="1">
      <alignment horizontal="center"/>
    </xf>
    <xf numFmtId="0" fontId="31" fillId="0" borderId="92" xfId="13" applyFont="1" applyBorder="1"/>
    <xf numFmtId="0" fontId="30" fillId="0" borderId="92" xfId="13" applyFont="1" applyBorder="1" applyAlignment="1">
      <alignment textRotation="180"/>
    </xf>
    <xf numFmtId="170" fontId="31" fillId="0" borderId="93" xfId="13" applyNumberFormat="1" applyFont="1" applyBorder="1" applyAlignment="1">
      <alignment horizontal="center"/>
    </xf>
    <xf numFmtId="1" fontId="32" fillId="0" borderId="94" xfId="13" applyNumberFormat="1" applyFont="1" applyBorder="1" applyAlignment="1">
      <alignment horizontal="center"/>
    </xf>
    <xf numFmtId="49" fontId="32" fillId="0" borderId="95" xfId="13" applyNumberFormat="1" applyFont="1" applyBorder="1" applyAlignment="1">
      <alignment horizontal="center"/>
    </xf>
    <xf numFmtId="49" fontId="32" fillId="0" borderId="45" xfId="13" applyNumberFormat="1" applyFont="1" applyBorder="1" applyAlignment="1">
      <alignment horizontal="left"/>
    </xf>
    <xf numFmtId="0" fontId="33" fillId="0" borderId="6" xfId="13" applyFont="1" applyBorder="1"/>
    <xf numFmtId="0" fontId="32" fillId="0" borderId="45" xfId="13" applyFont="1" applyBorder="1" applyAlignment="1">
      <alignment horizontal="center"/>
    </xf>
    <xf numFmtId="0" fontId="32" fillId="0" borderId="29" xfId="13" applyFont="1" applyBorder="1" applyAlignment="1">
      <alignment horizontal="center"/>
    </xf>
    <xf numFmtId="1" fontId="32" fillId="0" borderId="6" xfId="13" applyNumberFormat="1" applyFont="1" applyBorder="1" applyAlignment="1">
      <alignment horizontal="center"/>
    </xf>
    <xf numFmtId="49" fontId="32" fillId="0" borderId="45" xfId="13" applyNumberFormat="1" applyFont="1" applyBorder="1" applyAlignment="1">
      <alignment horizontal="center"/>
    </xf>
    <xf numFmtId="0" fontId="32" fillId="0" borderId="6" xfId="13" applyFont="1" applyBorder="1" applyAlignment="1">
      <alignment horizontal="center"/>
    </xf>
    <xf numFmtId="0" fontId="32" fillId="0" borderId="43" xfId="13" applyFont="1" applyBorder="1" applyAlignment="1">
      <alignment horizontal="center"/>
    </xf>
    <xf numFmtId="0" fontId="30" fillId="0" borderId="96" xfId="13" applyFont="1" applyBorder="1" applyAlignment="1">
      <alignment horizontal="center"/>
    </xf>
    <xf numFmtId="1" fontId="30" fillId="0" borderId="97" xfId="13" applyNumberFormat="1" applyFont="1" applyBorder="1" applyAlignment="1">
      <alignment horizontal="center"/>
    </xf>
    <xf numFmtId="0" fontId="31" fillId="0" borderId="98" xfId="13" applyFont="1" applyBorder="1"/>
    <xf numFmtId="0" fontId="30" fillId="0" borderId="98" xfId="13" applyFont="1" applyBorder="1" applyAlignment="1">
      <alignment textRotation="180"/>
    </xf>
    <xf numFmtId="1" fontId="32" fillId="0" borderId="99" xfId="13" applyNumberFormat="1" applyFont="1" applyBorder="1" applyAlignment="1">
      <alignment horizontal="center"/>
    </xf>
    <xf numFmtId="1" fontId="32" fillId="0" borderId="35" xfId="13" applyNumberFormat="1" applyFont="1" applyBorder="1" applyAlignment="1">
      <alignment horizontal="center"/>
    </xf>
    <xf numFmtId="0" fontId="29" fillId="12" borderId="12" xfId="17" applyFont="1" applyFill="1" applyBorder="1" applyAlignment="1">
      <alignment horizontal="right"/>
    </xf>
    <xf numFmtId="0" fontId="29" fillId="12" borderId="10" xfId="17" applyFont="1" applyFill="1" applyBorder="1"/>
    <xf numFmtId="0" fontId="1" fillId="12" borderId="13" xfId="17" applyFill="1" applyBorder="1"/>
    <xf numFmtId="0" fontId="1" fillId="0" borderId="0" xfId="17"/>
    <xf numFmtId="0" fontId="1" fillId="12" borderId="14" xfId="17" applyFill="1" applyBorder="1"/>
    <xf numFmtId="0" fontId="29" fillId="12" borderId="0" xfId="17" applyFont="1" applyFill="1"/>
    <xf numFmtId="0" fontId="1" fillId="12" borderId="0" xfId="17" applyFill="1"/>
    <xf numFmtId="0" fontId="1" fillId="12" borderId="15" xfId="17" applyFill="1" applyBorder="1"/>
    <xf numFmtId="0" fontId="35" fillId="12" borderId="39" xfId="17" applyFont="1" applyFill="1" applyBorder="1" applyAlignment="1">
      <alignment horizontal="center"/>
    </xf>
    <xf numFmtId="0" fontId="35" fillId="12" borderId="7" xfId="17" applyFont="1" applyFill="1" applyBorder="1" applyAlignment="1">
      <alignment horizontal="centerContinuous"/>
    </xf>
    <xf numFmtId="0" fontId="35" fillId="12" borderId="43" xfId="17" applyFont="1" applyFill="1" applyBorder="1" applyAlignment="1">
      <alignment horizontal="centerContinuous"/>
    </xf>
    <xf numFmtId="0" fontId="35" fillId="12" borderId="29" xfId="17" applyFont="1" applyFill="1" applyBorder="1" applyAlignment="1">
      <alignment horizontal="center"/>
    </xf>
    <xf numFmtId="0" fontId="35" fillId="12" borderId="6" xfId="17" applyFont="1" applyFill="1" applyBorder="1" applyAlignment="1">
      <alignment horizontal="center"/>
    </xf>
    <xf numFmtId="0" fontId="29" fillId="12" borderId="0" xfId="17" applyFont="1" applyFill="1" applyAlignment="1">
      <alignment horizontal="right"/>
    </xf>
    <xf numFmtId="0" fontId="29" fillId="12" borderId="0" xfId="17" applyFont="1" applyFill="1" applyAlignment="1">
      <alignment horizontal="left"/>
    </xf>
    <xf numFmtId="0" fontId="35" fillId="12" borderId="0" xfId="17" applyFont="1" applyFill="1"/>
    <xf numFmtId="0" fontId="29" fillId="12" borderId="14" xfId="17" applyFont="1" applyFill="1" applyBorder="1" applyAlignment="1">
      <alignment horizontal="right"/>
    </xf>
    <xf numFmtId="0" fontId="1" fillId="12" borderId="16" xfId="17" applyFill="1" applyBorder="1"/>
    <xf numFmtId="0" fontId="35" fillId="12" borderId="23" xfId="17" applyFont="1" applyFill="1" applyBorder="1" applyAlignment="1">
      <alignment horizontal="center"/>
    </xf>
    <xf numFmtId="0" fontId="1" fillId="12" borderId="11" xfId="17" applyFill="1" applyBorder="1"/>
    <xf numFmtId="0" fontId="1" fillId="12" borderId="17" xfId="17" applyFill="1" applyBorder="1"/>
    <xf numFmtId="0" fontId="4" fillId="0" borderId="0" xfId="13"/>
    <xf numFmtId="0" fontId="19" fillId="3" borderId="20" xfId="13" applyFont="1" applyFill="1" applyBorder="1" applyAlignment="1">
      <alignment horizontal="center" wrapText="1"/>
    </xf>
    <xf numFmtId="0" fontId="19" fillId="3" borderId="19" xfId="13" applyFont="1" applyFill="1" applyBorder="1" applyAlignment="1">
      <alignment horizontal="centerContinuous"/>
    </xf>
    <xf numFmtId="0" fontId="28" fillId="3" borderId="10" xfId="13" applyFont="1" applyFill="1" applyBorder="1" applyAlignment="1">
      <alignment vertical="center"/>
    </xf>
    <xf numFmtId="0" fontId="5" fillId="3" borderId="100" xfId="13" applyFont="1" applyFill="1" applyBorder="1" applyAlignment="1">
      <alignment horizontal="left"/>
    </xf>
    <xf numFmtId="2" fontId="5" fillId="13" borderId="101" xfId="13" applyNumberFormat="1" applyFont="1" applyFill="1" applyBorder="1" applyAlignment="1" applyProtection="1">
      <alignment horizontal="left"/>
      <protection locked="0"/>
    </xf>
    <xf numFmtId="0" fontId="5" fillId="13" borderId="61" xfId="13" applyFont="1" applyFill="1" applyBorder="1" applyAlignment="1" applyProtection="1">
      <alignment horizontal="left"/>
      <protection locked="0"/>
    </xf>
    <xf numFmtId="0" fontId="5" fillId="0" borderId="102" xfId="13" applyFont="1" applyBorder="1" applyAlignment="1">
      <alignment horizontal="left"/>
    </xf>
    <xf numFmtId="1" fontId="5" fillId="13" borderId="43" xfId="13" applyNumberFormat="1" applyFont="1" applyFill="1" applyBorder="1" applyAlignment="1" applyProtection="1">
      <alignment horizontal="center"/>
      <protection locked="0"/>
    </xf>
    <xf numFmtId="0" fontId="2" fillId="0" borderId="102" xfId="13" applyFont="1" applyBorder="1" applyAlignment="1">
      <alignment horizontal="centerContinuous"/>
    </xf>
    <xf numFmtId="49" fontId="2" fillId="0" borderId="43" xfId="13" applyNumberFormat="1" applyFont="1" applyBorder="1" applyAlignment="1">
      <alignment horizontal="centerContinuous"/>
    </xf>
    <xf numFmtId="49" fontId="2" fillId="0" borderId="103" xfId="13" applyNumberFormat="1" applyFont="1" applyBorder="1" applyAlignment="1">
      <alignment horizontal="centerContinuous"/>
    </xf>
    <xf numFmtId="0" fontId="2" fillId="0" borderId="102" xfId="13" applyFont="1" applyBorder="1" applyAlignment="1">
      <alignment horizontal="left"/>
    </xf>
    <xf numFmtId="0" fontId="2" fillId="3" borderId="7" xfId="13" applyFont="1" applyFill="1" applyBorder="1" applyAlignment="1">
      <alignment horizontal="centerContinuous"/>
    </xf>
    <xf numFmtId="0" fontId="2" fillId="3" borderId="61" xfId="13" applyFont="1" applyFill="1" applyBorder="1" applyAlignment="1">
      <alignment horizontal="centerContinuous"/>
    </xf>
    <xf numFmtId="4" fontId="2" fillId="13" borderId="104" xfId="13" applyNumberFormat="1" applyFont="1" applyFill="1" applyBorder="1" applyAlignment="1" applyProtection="1">
      <alignment horizontal="center"/>
      <protection locked="0"/>
    </xf>
    <xf numFmtId="10" fontId="2" fillId="0" borderId="105" xfId="16" applyNumberFormat="1" applyFont="1" applyFill="1" applyBorder="1" applyAlignment="1" applyProtection="1">
      <alignment horizontal="center"/>
    </xf>
    <xf numFmtId="0" fontId="5" fillId="3" borderId="106" xfId="13" applyFont="1" applyFill="1" applyBorder="1" applyAlignment="1">
      <alignment horizontal="left"/>
    </xf>
    <xf numFmtId="49" fontId="5" fillId="13" borderId="107" xfId="13" applyNumberFormat="1" applyFont="1" applyFill="1" applyBorder="1" applyProtection="1">
      <protection locked="0"/>
    </xf>
    <xf numFmtId="0" fontId="5" fillId="13" borderId="11" xfId="13" applyFont="1" applyFill="1" applyBorder="1" applyProtection="1">
      <protection locked="0"/>
    </xf>
    <xf numFmtId="0" fontId="5" fillId="13" borderId="11" xfId="13" applyFont="1" applyFill="1" applyBorder="1" applyAlignment="1" applyProtection="1">
      <alignment horizontal="left"/>
      <protection locked="0"/>
    </xf>
    <xf numFmtId="0" fontId="5" fillId="0" borderId="108" xfId="13" applyFont="1" applyBorder="1" applyAlignment="1">
      <alignment horizontal="left"/>
    </xf>
    <xf numFmtId="1" fontId="5" fillId="13" borderId="86" xfId="13" applyNumberFormat="1" applyFont="1" applyFill="1" applyBorder="1" applyAlignment="1" applyProtection="1">
      <alignment horizontal="center"/>
      <protection locked="0"/>
    </xf>
    <xf numFmtId="0" fontId="2" fillId="0" borderId="108" xfId="13" applyFont="1" applyBorder="1" applyAlignment="1">
      <alignment horizontal="center"/>
    </xf>
    <xf numFmtId="14" fontId="2" fillId="0" borderId="86" xfId="13" applyNumberFormat="1" applyFont="1" applyBorder="1" applyAlignment="1" applyProtection="1">
      <alignment horizontal="center"/>
      <protection locked="0"/>
    </xf>
    <xf numFmtId="1" fontId="2" fillId="13" borderId="86" xfId="13" applyNumberFormat="1" applyFont="1" applyFill="1" applyBorder="1" applyAlignment="1" applyProtection="1">
      <alignment horizontal="center"/>
      <protection locked="0"/>
    </xf>
    <xf numFmtId="14" fontId="2" fillId="0" borderId="109" xfId="13" applyNumberFormat="1" applyFont="1" applyBorder="1" applyAlignment="1">
      <alignment horizontal="center"/>
    </xf>
    <xf numFmtId="1" fontId="2" fillId="0" borderId="86" xfId="13" applyNumberFormat="1" applyFont="1" applyBorder="1" applyAlignment="1">
      <alignment horizontal="center"/>
    </xf>
    <xf numFmtId="0" fontId="2" fillId="3" borderId="110" xfId="13" applyFont="1" applyFill="1" applyBorder="1" applyAlignment="1">
      <alignment horizontal="centerContinuous"/>
    </xf>
    <xf numFmtId="0" fontId="2" fillId="3" borderId="72" xfId="13" applyFont="1" applyFill="1" applyBorder="1" applyAlignment="1">
      <alignment horizontal="centerContinuous"/>
    </xf>
    <xf numFmtId="0" fontId="2" fillId="3" borderId="11" xfId="13" applyFont="1" applyFill="1" applyBorder="1" applyAlignment="1">
      <alignment horizontal="centerContinuous"/>
    </xf>
    <xf numFmtId="4" fontId="2" fillId="13" borderId="111" xfId="13" applyNumberFormat="1" applyFont="1" applyFill="1" applyBorder="1" applyAlignment="1" applyProtection="1">
      <alignment horizontal="center"/>
      <protection locked="0"/>
    </xf>
    <xf numFmtId="10" fontId="2" fillId="0" borderId="112" xfId="16" applyNumberFormat="1" applyFont="1" applyFill="1" applyBorder="1" applyAlignment="1" applyProtection="1">
      <alignment horizontal="center"/>
    </xf>
    <xf numFmtId="0" fontId="5" fillId="3" borderId="113" xfId="13" applyFont="1" applyFill="1" applyBorder="1" applyAlignment="1">
      <alignment horizontal="left"/>
    </xf>
    <xf numFmtId="171" fontId="5" fillId="12" borderId="114" xfId="13" applyNumberFormat="1" applyFont="1" applyFill="1" applyBorder="1" applyAlignment="1">
      <alignment horizontal="left" indent="1"/>
    </xf>
    <xf numFmtId="0" fontId="23" fillId="3" borderId="115" xfId="13" applyFont="1" applyFill="1" applyBorder="1" applyAlignment="1">
      <alignment horizontal="center"/>
    </xf>
    <xf numFmtId="0" fontId="22" fillId="3" borderId="81" xfId="13" applyFont="1" applyFill="1" applyBorder="1" applyAlignment="1">
      <alignment horizontal="centerContinuous"/>
    </xf>
    <xf numFmtId="0" fontId="23" fillId="3" borderId="10" xfId="13" applyFont="1" applyFill="1" applyBorder="1" applyAlignment="1">
      <alignment horizontal="centerContinuous"/>
    </xf>
    <xf numFmtId="0" fontId="2" fillId="3" borderId="115" xfId="13" applyFont="1" applyFill="1" applyBorder="1" applyAlignment="1">
      <alignment horizontal="centerContinuous"/>
    </xf>
    <xf numFmtId="0" fontId="2" fillId="3" borderId="19" xfId="13" applyFont="1" applyFill="1" applyBorder="1" applyAlignment="1">
      <alignment horizontal="centerContinuous"/>
    </xf>
    <xf numFmtId="40" fontId="36" fillId="3" borderId="116" xfId="13" applyNumberFormat="1" applyFont="1" applyFill="1" applyBorder="1"/>
    <xf numFmtId="10" fontId="3" fillId="0" borderId="117" xfId="16" applyNumberFormat="1" applyFont="1" applyFill="1" applyBorder="1" applyProtection="1"/>
    <xf numFmtId="0" fontId="5" fillId="2" borderId="27" xfId="13" applyFont="1" applyFill="1" applyBorder="1" applyAlignment="1" applyProtection="1">
      <alignment horizontal="center"/>
      <protection locked="0"/>
    </xf>
    <xf numFmtId="1" fontId="5" fillId="14" borderId="93" xfId="13" applyNumberFormat="1" applyFont="1" applyFill="1" applyBorder="1" applyAlignment="1" applyProtection="1">
      <alignment horizontal="center"/>
      <protection locked="0"/>
    </xf>
    <xf numFmtId="0" fontId="3" fillId="0" borderId="0" xfId="13" applyFont="1"/>
    <xf numFmtId="0" fontId="3" fillId="3" borderId="130" xfId="13" applyFont="1" applyFill="1" applyBorder="1"/>
    <xf numFmtId="40" fontId="3" fillId="3" borderId="130" xfId="13" applyNumberFormat="1" applyFont="1" applyFill="1" applyBorder="1"/>
    <xf numFmtId="0" fontId="3" fillId="3" borderId="131" xfId="13" applyFont="1" applyFill="1" applyBorder="1"/>
    <xf numFmtId="0" fontId="5" fillId="3" borderId="133" xfId="13" applyFont="1" applyFill="1" applyBorder="1" applyAlignment="1">
      <alignment horizontal="centerContinuous"/>
    </xf>
    <xf numFmtId="0" fontId="3" fillId="3" borderId="133" xfId="13" applyFont="1" applyFill="1" applyBorder="1"/>
    <xf numFmtId="40" fontId="36" fillId="3" borderId="134" xfId="13" applyNumberFormat="1" applyFont="1" applyFill="1" applyBorder="1"/>
    <xf numFmtId="0" fontId="36" fillId="3" borderId="135" xfId="13" applyFont="1" applyFill="1" applyBorder="1"/>
    <xf numFmtId="0" fontId="22" fillId="3" borderId="76" xfId="13" applyFont="1" applyFill="1" applyBorder="1" applyAlignment="1">
      <alignment horizontal="centerContinuous"/>
    </xf>
    <xf numFmtId="0" fontId="23" fillId="3" borderId="67" xfId="13" applyFont="1" applyFill="1" applyBorder="1" applyAlignment="1">
      <alignment horizontal="centerContinuous"/>
    </xf>
    <xf numFmtId="0" fontId="3" fillId="3" borderId="67" xfId="13" applyFont="1" applyFill="1" applyBorder="1" applyAlignment="1">
      <alignment horizontal="centerContinuous"/>
    </xf>
    <xf numFmtId="0" fontId="3" fillId="3" borderId="51" xfId="13" applyFont="1" applyFill="1" applyBorder="1" applyAlignment="1">
      <alignment horizontal="centerContinuous"/>
    </xf>
    <xf numFmtId="0" fontId="3" fillId="3" borderId="122" xfId="13" applyFont="1" applyFill="1" applyBorder="1" applyAlignment="1">
      <alignment horizontal="centerContinuous"/>
    </xf>
    <xf numFmtId="0" fontId="3" fillId="3" borderId="136" xfId="13" applyFont="1" applyFill="1" applyBorder="1" applyAlignment="1">
      <alignment horizontal="centerContinuous"/>
    </xf>
    <xf numFmtId="0" fontId="3" fillId="3" borderId="120" xfId="13" applyFont="1" applyFill="1" applyBorder="1" applyAlignment="1">
      <alignment horizontal="center"/>
    </xf>
    <xf numFmtId="0" fontId="3" fillId="3" borderId="121" xfId="13" applyFont="1" applyFill="1" applyBorder="1" applyAlignment="1">
      <alignment horizontal="center"/>
    </xf>
    <xf numFmtId="0" fontId="3" fillId="3" borderId="138" xfId="13" applyFont="1" applyFill="1" applyBorder="1" applyAlignment="1">
      <alignment horizontal="center"/>
    </xf>
    <xf numFmtId="0" fontId="3" fillId="3" borderId="139" xfId="13" applyFont="1" applyFill="1" applyBorder="1" applyAlignment="1">
      <alignment horizontal="center"/>
    </xf>
    <xf numFmtId="0" fontId="3" fillId="3" borderId="128" xfId="13" applyFont="1" applyFill="1" applyBorder="1" applyAlignment="1">
      <alignment horizontal="center"/>
    </xf>
    <xf numFmtId="0" fontId="3" fillId="3" borderId="46" xfId="13" applyFont="1" applyFill="1" applyBorder="1" applyAlignment="1">
      <alignment horizontal="center"/>
    </xf>
    <xf numFmtId="0" fontId="3" fillId="3" borderId="30" xfId="13" applyFont="1" applyFill="1" applyBorder="1" applyAlignment="1">
      <alignment horizontal="center"/>
    </xf>
    <xf numFmtId="49" fontId="3" fillId="3" borderId="39" xfId="13" applyNumberFormat="1" applyFont="1" applyFill="1" applyBorder="1"/>
    <xf numFmtId="0" fontId="3" fillId="3" borderId="43" xfId="13" applyFont="1" applyFill="1" applyBorder="1"/>
    <xf numFmtId="0" fontId="3" fillId="3" borderId="6" xfId="13" applyFont="1" applyFill="1" applyBorder="1"/>
    <xf numFmtId="40" fontId="3" fillId="3" borderId="6" xfId="13" applyNumberFormat="1" applyFont="1" applyFill="1" applyBorder="1"/>
    <xf numFmtId="40" fontId="3" fillId="3" borderId="140" xfId="13" applyNumberFormat="1" applyFont="1" applyFill="1" applyBorder="1" applyProtection="1">
      <protection locked="0"/>
    </xf>
    <xf numFmtId="172" fontId="3" fillId="3" borderId="67" xfId="13" applyNumberFormat="1" applyFont="1" applyFill="1" applyBorder="1" applyAlignment="1">
      <alignment horizontal="center"/>
    </xf>
    <xf numFmtId="40" fontId="3" fillId="3" borderId="104" xfId="13" applyNumberFormat="1" applyFont="1" applyFill="1" applyBorder="1"/>
    <xf numFmtId="10" fontId="3" fillId="3" borderId="32" xfId="16" applyNumberFormat="1" applyFont="1" applyFill="1" applyBorder="1" applyProtection="1"/>
    <xf numFmtId="0" fontId="3" fillId="3" borderId="29" xfId="13" applyFont="1" applyFill="1" applyBorder="1"/>
    <xf numFmtId="172" fontId="3" fillId="3" borderId="61" xfId="13" applyNumberFormat="1" applyFont="1" applyFill="1" applyBorder="1" applyAlignment="1">
      <alignment horizontal="center"/>
    </xf>
    <xf numFmtId="1" fontId="3" fillId="3" borderId="39" xfId="13" applyNumberFormat="1" applyFont="1" applyFill="1" applyBorder="1"/>
    <xf numFmtId="1" fontId="3" fillId="3" borderId="29" xfId="13" applyNumberFormat="1" applyFont="1" applyFill="1" applyBorder="1"/>
    <xf numFmtId="0" fontId="3" fillId="3" borderId="65" xfId="13" applyFont="1" applyFill="1" applyBorder="1" applyAlignment="1">
      <alignment horizontal="center"/>
    </xf>
    <xf numFmtId="0" fontId="3" fillId="3" borderId="61" xfId="13" applyFont="1" applyFill="1" applyBorder="1"/>
    <xf numFmtId="40" fontId="3" fillId="3" borderId="61" xfId="13" applyNumberFormat="1" applyFont="1" applyFill="1" applyBorder="1"/>
    <xf numFmtId="40" fontId="3" fillId="3" borderId="61" xfId="13" applyNumberFormat="1" applyFont="1" applyFill="1" applyBorder="1" applyProtection="1">
      <protection locked="0"/>
    </xf>
    <xf numFmtId="9" fontId="3" fillId="3" borderId="53" xfId="16" applyFont="1" applyFill="1" applyBorder="1" applyProtection="1"/>
    <xf numFmtId="40" fontId="3" fillId="3" borderId="29" xfId="13" applyNumberFormat="1" applyFont="1" applyFill="1" applyBorder="1"/>
    <xf numFmtId="40" fontId="3" fillId="3" borderId="141" xfId="13" applyNumberFormat="1" applyFont="1" applyFill="1" applyBorder="1" applyProtection="1">
      <protection locked="0"/>
    </xf>
    <xf numFmtId="40" fontId="3" fillId="3" borderId="142" xfId="13" applyNumberFormat="1" applyFont="1" applyFill="1" applyBorder="1"/>
    <xf numFmtId="40" fontId="3" fillId="3" borderId="128" xfId="13" applyNumberFormat="1" applyFont="1" applyFill="1" applyBorder="1"/>
    <xf numFmtId="10" fontId="3" fillId="3" borderId="46" xfId="16" applyNumberFormat="1" applyFont="1" applyFill="1" applyBorder="1" applyProtection="1"/>
    <xf numFmtId="0" fontId="3" fillId="3" borderId="1" xfId="13" applyFont="1" applyFill="1" applyBorder="1"/>
    <xf numFmtId="40" fontId="3" fillId="3" borderId="67" xfId="13" applyNumberFormat="1" applyFont="1" applyFill="1" applyBorder="1"/>
    <xf numFmtId="0" fontId="3" fillId="3" borderId="65" xfId="13" applyFont="1" applyFill="1" applyBorder="1"/>
    <xf numFmtId="40" fontId="3" fillId="3" borderId="9" xfId="13" applyNumberFormat="1" applyFont="1" applyFill="1" applyBorder="1"/>
    <xf numFmtId="9" fontId="3" fillId="3" borderId="54" xfId="16" applyFont="1" applyFill="1" applyBorder="1" applyProtection="1"/>
    <xf numFmtId="0" fontId="5" fillId="3" borderId="90" xfId="13" applyFont="1" applyFill="1" applyBorder="1" applyAlignment="1">
      <alignment horizontal="centerContinuous"/>
    </xf>
    <xf numFmtId="40" fontId="36" fillId="3" borderId="143" xfId="13" applyNumberFormat="1" applyFont="1" applyFill="1" applyBorder="1"/>
    <xf numFmtId="40" fontId="36" fillId="3" borderId="1" xfId="13" applyNumberFormat="1" applyFont="1" applyFill="1" applyBorder="1"/>
    <xf numFmtId="40" fontId="36" fillId="3" borderId="144" xfId="13" applyNumberFormat="1" applyFont="1" applyFill="1" applyBorder="1" applyProtection="1">
      <protection locked="0"/>
    </xf>
    <xf numFmtId="40" fontId="36" fillId="3" borderId="0" xfId="13" applyNumberFormat="1" applyFont="1" applyFill="1"/>
    <xf numFmtId="40" fontId="36" fillId="3" borderId="145" xfId="13" applyNumberFormat="1" applyFont="1" applyFill="1" applyBorder="1"/>
    <xf numFmtId="10" fontId="36" fillId="3" borderId="146" xfId="16" applyNumberFormat="1" applyFont="1" applyFill="1" applyBorder="1" applyProtection="1"/>
    <xf numFmtId="0" fontId="5" fillId="3" borderId="147" xfId="13" applyFont="1" applyFill="1" applyBorder="1" applyAlignment="1">
      <alignment horizontal="centerContinuous"/>
    </xf>
    <xf numFmtId="10" fontId="36" fillId="3" borderId="148" xfId="16" applyNumberFormat="1" applyFont="1" applyFill="1" applyBorder="1" applyProtection="1"/>
    <xf numFmtId="10" fontId="36" fillId="3" borderId="149" xfId="16" applyNumberFormat="1" applyFont="1" applyFill="1" applyBorder="1" applyProtection="1">
      <protection locked="0"/>
    </xf>
    <xf numFmtId="10" fontId="36" fillId="3" borderId="150" xfId="16" applyNumberFormat="1" applyFont="1" applyFill="1" applyBorder="1" applyProtection="1"/>
    <xf numFmtId="10" fontId="36" fillId="3" borderId="151" xfId="16" applyNumberFormat="1" applyFont="1" applyFill="1" applyBorder="1" applyProtection="1"/>
    <xf numFmtId="0" fontId="5" fillId="3" borderId="99" xfId="13" applyFont="1" applyFill="1" applyBorder="1" applyAlignment="1">
      <alignment horizontal="centerContinuous"/>
    </xf>
    <xf numFmtId="10" fontId="36" fillId="3" borderId="137" xfId="16" applyNumberFormat="1" applyFont="1" applyFill="1" applyBorder="1" applyProtection="1"/>
    <xf numFmtId="10" fontId="36" fillId="3" borderId="152" xfId="16" applyNumberFormat="1" applyFont="1" applyFill="1" applyBorder="1" applyProtection="1">
      <protection locked="0"/>
    </xf>
    <xf numFmtId="10" fontId="36" fillId="3" borderId="0" xfId="16" applyNumberFormat="1" applyFont="1" applyFill="1" applyBorder="1" applyProtection="1"/>
    <xf numFmtId="40" fontId="37" fillId="13" borderId="153" xfId="13" applyNumberFormat="1" applyFont="1" applyFill="1" applyBorder="1" applyAlignment="1">
      <alignment horizontal="center"/>
    </xf>
    <xf numFmtId="10" fontId="37" fillId="13" borderId="154" xfId="16" applyNumberFormat="1" applyFont="1" applyFill="1" applyBorder="1" applyAlignment="1" applyProtection="1">
      <alignment horizontal="center"/>
    </xf>
    <xf numFmtId="0" fontId="5" fillId="13" borderId="12" xfId="13" applyFont="1" applyFill="1" applyBorder="1" applyAlignment="1" applyProtection="1">
      <alignment horizontal="left" vertical="top"/>
      <protection locked="0"/>
    </xf>
    <xf numFmtId="0" fontId="5" fillId="13" borderId="10" xfId="13" applyFont="1" applyFill="1" applyBorder="1" applyProtection="1">
      <protection locked="0"/>
    </xf>
    <xf numFmtId="0" fontId="5" fillId="13" borderId="155" xfId="13" applyFont="1" applyFill="1" applyBorder="1" applyProtection="1">
      <protection locked="0"/>
    </xf>
    <xf numFmtId="0" fontId="5" fillId="13" borderId="10" xfId="13" applyFont="1" applyFill="1" applyBorder="1" applyAlignment="1" applyProtection="1">
      <alignment horizontal="left" vertical="top"/>
      <protection locked="0"/>
    </xf>
    <xf numFmtId="0" fontId="5" fillId="13" borderId="10" xfId="13" applyFont="1" applyFill="1" applyBorder="1" applyAlignment="1" applyProtection="1">
      <alignment horizontal="centerContinuous" vertical="center"/>
      <protection locked="0"/>
    </xf>
    <xf numFmtId="0" fontId="5" fillId="13" borderId="13" xfId="13" applyFont="1" applyFill="1" applyBorder="1" applyAlignment="1" applyProtection="1">
      <alignment horizontal="centerContinuous" vertical="center"/>
      <protection locked="0"/>
    </xf>
    <xf numFmtId="0" fontId="5" fillId="3" borderId="12" xfId="13" applyFont="1" applyFill="1" applyBorder="1" applyAlignment="1">
      <alignment horizontal="left" vertical="top"/>
    </xf>
    <xf numFmtId="0" fontId="5" fillId="3" borderId="10" xfId="13" applyFont="1" applyFill="1" applyBorder="1"/>
    <xf numFmtId="0" fontId="5" fillId="0" borderId="155" xfId="13" applyFont="1" applyBorder="1"/>
    <xf numFmtId="0" fontId="5" fillId="3" borderId="10" xfId="13" applyFont="1" applyFill="1" applyBorder="1" applyAlignment="1">
      <alignment horizontal="left"/>
    </xf>
    <xf numFmtId="0" fontId="5" fillId="3" borderId="10" xfId="13" applyFont="1" applyFill="1" applyBorder="1" applyAlignment="1">
      <alignment horizontal="centerContinuous" vertical="center"/>
    </xf>
    <xf numFmtId="0" fontId="5" fillId="3" borderId="13" xfId="13" applyFont="1" applyFill="1" applyBorder="1"/>
    <xf numFmtId="14" fontId="5" fillId="13" borderId="11" xfId="13" applyNumberFormat="1" applyFont="1" applyFill="1" applyBorder="1" applyAlignment="1" applyProtection="1">
      <alignment horizontal="center" vertical="center"/>
      <protection locked="0"/>
    </xf>
    <xf numFmtId="1" fontId="2" fillId="13" borderId="86" xfId="13" applyNumberFormat="1" applyFont="1" applyFill="1" applyBorder="1" applyAlignment="1">
      <alignment horizontal="center"/>
    </xf>
    <xf numFmtId="0" fontId="4" fillId="0" borderId="0" xfId="4" applyFont="1" applyAlignment="1">
      <alignment vertical="center"/>
    </xf>
    <xf numFmtId="49" fontId="5" fillId="3" borderId="49" xfId="4" applyNumberFormat="1" applyFont="1" applyFill="1" applyBorder="1" applyAlignment="1" applyProtection="1">
      <alignment horizontal="left" vertical="center"/>
    </xf>
    <xf numFmtId="49" fontId="5" fillId="5" borderId="57" xfId="4" applyNumberFormat="1" applyFont="1" applyFill="1" applyBorder="1" applyAlignment="1" applyProtection="1">
      <alignment horizontal="left" vertical="center"/>
      <protection locked="0"/>
    </xf>
    <xf numFmtId="49" fontId="5" fillId="5" borderId="19" xfId="4" applyNumberFormat="1" applyFont="1" applyFill="1" applyBorder="1" applyAlignment="1" applyProtection="1">
      <alignment horizontal="left" vertical="center"/>
      <protection locked="0"/>
    </xf>
    <xf numFmtId="49" fontId="5" fillId="5" borderId="67" xfId="4" applyNumberFormat="1" applyFont="1" applyFill="1" applyBorder="1" applyAlignment="1" applyProtection="1">
      <alignment horizontal="left" vertical="center"/>
      <protection locked="0"/>
    </xf>
    <xf numFmtId="0" fontId="5" fillId="0" borderId="31" xfId="4" applyFont="1" applyFill="1" applyBorder="1" applyAlignment="1" applyProtection="1">
      <alignment horizontal="left" vertical="center"/>
    </xf>
    <xf numFmtId="49" fontId="5" fillId="5" borderId="52" xfId="4" applyNumberFormat="1" applyFont="1" applyFill="1" applyBorder="1" applyAlignment="1" applyProtection="1">
      <alignment horizontal="center" vertical="center"/>
      <protection locked="0"/>
    </xf>
    <xf numFmtId="49" fontId="5" fillId="3" borderId="55" xfId="4" applyNumberFormat="1" applyFont="1" applyFill="1" applyBorder="1" applyAlignment="1" applyProtection="1">
      <alignment horizontal="left" vertical="center"/>
    </xf>
    <xf numFmtId="49" fontId="5" fillId="5" borderId="58" xfId="4" applyNumberFormat="1" applyFont="1" applyFill="1" applyBorder="1" applyAlignment="1" applyProtection="1">
      <alignment horizontal="left" vertical="center"/>
      <protection locked="0"/>
    </xf>
    <xf numFmtId="49" fontId="5" fillId="5" borderId="11" xfId="4" applyNumberFormat="1" applyFont="1" applyFill="1" applyBorder="1" applyAlignment="1" applyProtection="1">
      <alignment horizontal="left" vertical="center"/>
      <protection locked="0"/>
    </xf>
    <xf numFmtId="0" fontId="5" fillId="0" borderId="24" xfId="4" applyFont="1" applyFill="1" applyBorder="1" applyAlignment="1" applyProtection="1">
      <alignment horizontal="left" vertical="center"/>
    </xf>
    <xf numFmtId="49" fontId="5" fillId="5" borderId="24" xfId="4" applyNumberFormat="1" applyFont="1" applyFill="1" applyBorder="1" applyAlignment="1" applyProtection="1">
      <alignment horizontal="center" vertical="center"/>
      <protection locked="0"/>
    </xf>
    <xf numFmtId="0" fontId="4" fillId="0" borderId="3" xfId="4" applyFont="1" applyFill="1" applyBorder="1" applyAlignment="1">
      <alignment horizontal="left" vertical="center"/>
    </xf>
    <xf numFmtId="0" fontId="4" fillId="0" borderId="26" xfId="4" applyFont="1" applyFill="1" applyBorder="1" applyAlignment="1">
      <alignment horizontal="left" vertical="center"/>
    </xf>
    <xf numFmtId="0" fontId="4" fillId="0" borderId="26" xfId="1" applyFont="1" applyFill="1" applyBorder="1" applyAlignment="1">
      <alignment vertical="center"/>
    </xf>
    <xf numFmtId="0" fontId="5" fillId="0" borderId="37" xfId="4" applyFont="1" applyFill="1" applyBorder="1" applyAlignment="1">
      <alignment horizontal="center" vertical="center" wrapText="1"/>
    </xf>
    <xf numFmtId="49" fontId="5" fillId="0" borderId="47" xfId="4" applyNumberFormat="1" applyFont="1" applyFill="1" applyBorder="1" applyAlignment="1" applyProtection="1">
      <alignment horizontal="center" vertical="center"/>
    </xf>
    <xf numFmtId="0" fontId="8" fillId="0" borderId="10" xfId="4" applyFont="1" applyFill="1" applyBorder="1" applyAlignment="1" applyProtection="1">
      <alignment vertical="center"/>
    </xf>
    <xf numFmtId="0" fontId="4" fillId="0" borderId="10" xfId="4" applyFont="1" applyFill="1" applyBorder="1" applyAlignment="1">
      <alignment vertical="center"/>
    </xf>
    <xf numFmtId="4" fontId="5" fillId="0" borderId="13" xfId="1" applyNumberFormat="1" applyFont="1" applyFill="1" applyBorder="1" applyAlignment="1" applyProtection="1">
      <alignment vertical="center"/>
    </xf>
    <xf numFmtId="4" fontId="5" fillId="4" borderId="37" xfId="1" applyNumberFormat="1" applyFont="1" applyFill="1" applyBorder="1" applyAlignment="1" applyProtection="1">
      <alignment vertical="center"/>
    </xf>
    <xf numFmtId="10" fontId="4" fillId="0" borderId="37" xfId="5" applyNumberFormat="1" applyFont="1" applyFill="1" applyBorder="1" applyAlignment="1">
      <alignment vertical="center"/>
    </xf>
    <xf numFmtId="49" fontId="5" fillId="0" borderId="2" xfId="4" applyNumberFormat="1" applyFont="1" applyFill="1" applyBorder="1" applyAlignment="1" applyProtection="1">
      <alignment horizontal="center" vertical="center"/>
    </xf>
    <xf numFmtId="0" fontId="8" fillId="0" borderId="26" xfId="4" applyFont="1" applyFill="1" applyBorder="1" applyAlignment="1" applyProtection="1">
      <alignment vertical="center"/>
    </xf>
    <xf numFmtId="0" fontId="4" fillId="0" borderId="26" xfId="4" applyFont="1" applyFill="1" applyBorder="1" applyAlignment="1">
      <alignment vertical="center"/>
    </xf>
    <xf numFmtId="4" fontId="5" fillId="0" borderId="37" xfId="1" applyNumberFormat="1" applyFont="1" applyFill="1" applyBorder="1" applyAlignment="1" applyProtection="1">
      <alignment vertical="center"/>
    </xf>
    <xf numFmtId="0" fontId="8" fillId="0" borderId="0" xfId="4" applyFont="1" applyFill="1" applyBorder="1" applyAlignment="1" applyProtection="1">
      <alignment vertical="center"/>
    </xf>
    <xf numFmtId="0" fontId="4" fillId="0" borderId="0" xfId="4" applyFont="1" applyFill="1" applyBorder="1" applyAlignment="1">
      <alignment vertical="center"/>
    </xf>
    <xf numFmtId="0" fontId="8" fillId="0" borderId="11" xfId="4" applyFont="1" applyFill="1" applyBorder="1" applyAlignment="1" applyProtection="1">
      <alignment vertical="center"/>
    </xf>
    <xf numFmtId="0" fontId="4" fillId="0" borderId="11" xfId="4" applyFont="1" applyFill="1" applyBorder="1" applyAlignment="1">
      <alignment vertical="center"/>
    </xf>
    <xf numFmtId="0" fontId="4" fillId="0" borderId="14" xfId="4" applyFont="1" applyFill="1" applyBorder="1" applyAlignment="1">
      <alignment vertical="center"/>
    </xf>
    <xf numFmtId="0" fontId="4" fillId="0" borderId="15" xfId="4" applyFont="1" applyFill="1" applyBorder="1" applyAlignment="1">
      <alignment vertical="center"/>
    </xf>
    <xf numFmtId="0" fontId="4" fillId="0" borderId="0" xfId="4" applyFont="1" applyFill="1" applyAlignment="1">
      <alignment vertical="center"/>
    </xf>
    <xf numFmtId="0" fontId="4" fillId="0" borderId="87" xfId="4" applyFont="1" applyFill="1" applyBorder="1" applyAlignment="1">
      <alignment vertical="center"/>
    </xf>
    <xf numFmtId="164" fontId="5" fillId="2" borderId="71" xfId="3" applyFont="1" applyFill="1" applyBorder="1" applyAlignment="1">
      <alignment horizontal="center" vertical="center"/>
    </xf>
    <xf numFmtId="0" fontId="4" fillId="0" borderId="17" xfId="4" applyFont="1" applyFill="1" applyBorder="1" applyAlignment="1">
      <alignment vertical="center"/>
    </xf>
    <xf numFmtId="0" fontId="4" fillId="0" borderId="0" xfId="4" applyFont="1" applyFill="1" applyAlignment="1">
      <alignment horizontal="left"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/>
    <xf numFmtId="0" fontId="7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2" fontId="6" fillId="0" borderId="6" xfId="1" applyNumberFormat="1" applyFont="1" applyBorder="1" applyAlignment="1">
      <alignment horizontal="center" wrapText="1"/>
    </xf>
    <xf numFmtId="2" fontId="6" fillId="0" borderId="0" xfId="1" applyNumberFormat="1" applyFont="1" applyAlignment="1">
      <alignment horizontal="center" wrapText="1"/>
    </xf>
    <xf numFmtId="0" fontId="6" fillId="0" borderId="27" xfId="1" applyFont="1" applyBorder="1" applyAlignment="1">
      <alignment horizontal="center"/>
    </xf>
    <xf numFmtId="0" fontId="6" fillId="0" borderId="0" xfId="1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6" fillId="0" borderId="6" xfId="1" applyFont="1" applyBorder="1" applyAlignment="1">
      <alignment horizontal="center" wrapText="1"/>
    </xf>
    <xf numFmtId="0" fontId="7" fillId="0" borderId="27" xfId="0" applyFont="1" applyBorder="1" applyAlignment="1">
      <alignment horizontal="center" wrapText="1"/>
    </xf>
    <xf numFmtId="0" fontId="6" fillId="0" borderId="6" xfId="0" applyFont="1" applyBorder="1" applyAlignment="1">
      <alignment horizontal="center" textRotation="180" wrapText="1"/>
    </xf>
    <xf numFmtId="0" fontId="6" fillId="0" borderId="7" xfId="0" applyFont="1" applyBorder="1" applyAlignment="1">
      <alignment horizontal="center"/>
    </xf>
    <xf numFmtId="0" fontId="6" fillId="0" borderId="6" xfId="0" applyFont="1" applyBorder="1" applyAlignment="1">
      <alignment horizontal="center" wrapText="1"/>
    </xf>
    <xf numFmtId="0" fontId="6" fillId="0" borderId="6" xfId="0" applyFont="1" applyBorder="1" applyAlignment="1">
      <alignment wrapText="1"/>
    </xf>
    <xf numFmtId="0" fontId="6" fillId="0" borderId="8" xfId="0" applyFont="1" applyBorder="1" applyAlignment="1">
      <alignment horizontal="left"/>
    </xf>
    <xf numFmtId="0" fontId="6" fillId="0" borderId="9" xfId="0" applyFont="1" applyBorder="1" applyAlignment="1">
      <alignment horizontal="left"/>
    </xf>
    <xf numFmtId="167" fontId="7" fillId="0" borderId="6" xfId="1" applyNumberFormat="1" applyFont="1" applyBorder="1" applyAlignment="1">
      <alignment horizontal="center"/>
    </xf>
    <xf numFmtId="2" fontId="6" fillId="0" borderId="8" xfId="1" applyNumberFormat="1" applyFont="1" applyBorder="1" applyAlignment="1">
      <alignment horizontal="center"/>
    </xf>
    <xf numFmtId="2" fontId="7" fillId="0" borderId="0" xfId="0" applyNumberFormat="1" applyFont="1" applyAlignment="1">
      <alignment horizontal="center"/>
    </xf>
    <xf numFmtId="1" fontId="7" fillId="0" borderId="6" xfId="1" applyNumberFormat="1" applyFont="1" applyBorder="1" applyAlignment="1">
      <alignment horizontal="center"/>
    </xf>
    <xf numFmtId="2" fontId="7" fillId="0" borderId="27" xfId="0" applyNumberFormat="1" applyFont="1" applyBorder="1" applyAlignment="1">
      <alignment horizontal="center"/>
    </xf>
    <xf numFmtId="0" fontId="2" fillId="0" borderId="9" xfId="0" applyFont="1" applyBorder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0" borderId="0" xfId="1" applyFont="1"/>
    <xf numFmtId="0" fontId="4" fillId="0" borderId="0" xfId="1"/>
    <xf numFmtId="0" fontId="4" fillId="0" borderId="0" xfId="1" applyAlignment="1">
      <alignment horizontal="center"/>
    </xf>
    <xf numFmtId="0" fontId="5" fillId="0" borderId="0" xfId="1" applyFont="1"/>
    <xf numFmtId="2" fontId="5" fillId="0" borderId="3" xfId="1" applyNumberFormat="1" applyFont="1" applyBorder="1" applyAlignment="1">
      <alignment horizontal="centerContinuous" vertical="center"/>
    </xf>
    <xf numFmtId="0" fontId="4" fillId="0" borderId="26" xfId="1" applyBorder="1" applyAlignment="1">
      <alignment horizontal="centerContinuous" vertical="center"/>
    </xf>
    <xf numFmtId="0" fontId="5" fillId="0" borderId="26" xfId="1" applyFont="1" applyBorder="1" applyAlignment="1">
      <alignment horizontal="centerContinuous" vertical="center"/>
    </xf>
    <xf numFmtId="0" fontId="5" fillId="0" borderId="26" xfId="0" applyFont="1" applyBorder="1" applyAlignment="1">
      <alignment horizontal="centerContinuous" vertical="center"/>
    </xf>
    <xf numFmtId="0" fontId="5" fillId="0" borderId="37" xfId="0" applyFont="1" applyBorder="1" applyAlignment="1">
      <alignment horizontal="centerContinuous" vertical="center"/>
    </xf>
    <xf numFmtId="2" fontId="5" fillId="0" borderId="2" xfId="0" applyNumberFormat="1" applyFont="1" applyBorder="1" applyAlignment="1">
      <alignment horizontal="center" vertical="center"/>
    </xf>
    <xf numFmtId="2" fontId="5" fillId="0" borderId="5" xfId="0" applyNumberFormat="1" applyFont="1" applyBorder="1" applyAlignment="1">
      <alignment horizontal="center" vertical="center"/>
    </xf>
    <xf numFmtId="165" fontId="5" fillId="0" borderId="5" xfId="1" applyNumberFormat="1" applyFont="1" applyBorder="1" applyAlignment="1">
      <alignment horizontal="center" vertical="center" wrapText="1"/>
    </xf>
    <xf numFmtId="165" fontId="5" fillId="0" borderId="28" xfId="1" applyNumberFormat="1" applyFont="1" applyBorder="1" applyAlignment="1">
      <alignment horizontal="center" vertical="center"/>
    </xf>
    <xf numFmtId="165" fontId="5" fillId="0" borderId="28" xfId="1" applyNumberFormat="1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textRotation="90" wrapText="1"/>
    </xf>
    <xf numFmtId="4" fontId="4" fillId="0" borderId="6" xfId="1" applyNumberFormat="1" applyBorder="1" applyAlignment="1">
      <alignment vertical="center"/>
    </xf>
    <xf numFmtId="4" fontId="4" fillId="0" borderId="4" xfId="1" applyNumberFormat="1" applyBorder="1" applyAlignment="1">
      <alignment vertical="center"/>
    </xf>
    <xf numFmtId="0" fontId="4" fillId="0" borderId="26" xfId="0" applyFont="1" applyBorder="1" applyAlignment="1">
      <alignment horizontal="left" vertical="center"/>
    </xf>
    <xf numFmtId="0" fontId="5" fillId="0" borderId="26" xfId="1" applyFont="1" applyBorder="1" applyAlignment="1">
      <alignment horizontal="left" vertical="center"/>
    </xf>
    <xf numFmtId="2" fontId="4" fillId="0" borderId="26" xfId="1" applyNumberFormat="1" applyBorder="1" applyAlignment="1">
      <alignment horizontal="center" vertical="center"/>
    </xf>
    <xf numFmtId="167" fontId="4" fillId="0" borderId="26" xfId="1" applyNumberFormat="1" applyBorder="1" applyAlignment="1">
      <alignment horizontal="center" vertical="center"/>
    </xf>
    <xf numFmtId="0" fontId="5" fillId="0" borderId="26" xfId="0" applyFont="1" applyBorder="1" applyAlignment="1">
      <alignment vertical="center"/>
    </xf>
    <xf numFmtId="0" fontId="5" fillId="0" borderId="37" xfId="0" applyFont="1" applyBorder="1" applyAlignment="1">
      <alignment vertical="center"/>
    </xf>
    <xf numFmtId="4" fontId="5" fillId="0" borderId="37" xfId="1" applyNumberFormat="1" applyFont="1" applyBorder="1" applyAlignment="1">
      <alignment vertical="center"/>
    </xf>
    <xf numFmtId="4" fontId="5" fillId="0" borderId="27" xfId="1" applyNumberFormat="1" applyFont="1" applyBorder="1" applyAlignment="1">
      <alignment vertical="center"/>
    </xf>
    <xf numFmtId="0" fontId="5" fillId="0" borderId="3" xfId="1" applyFont="1" applyBorder="1" applyAlignment="1">
      <alignment horizontal="left" vertical="center"/>
    </xf>
    <xf numFmtId="4" fontId="5" fillId="0" borderId="17" xfId="1" applyNumberFormat="1" applyFont="1" applyBorder="1" applyAlignment="1">
      <alignment vertical="center"/>
    </xf>
    <xf numFmtId="0" fontId="5" fillId="0" borderId="34" xfId="0" applyFont="1" applyBorder="1" applyAlignment="1">
      <alignment vertical="center"/>
    </xf>
    <xf numFmtId="168" fontId="5" fillId="0" borderId="28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39" fontId="10" fillId="10" borderId="12" xfId="3" applyNumberFormat="1" applyFont="1" applyFill="1" applyBorder="1" applyAlignment="1" applyProtection="1">
      <alignment horizontal="centerContinuous" vertical="center"/>
    </xf>
    <xf numFmtId="39" fontId="10" fillId="10" borderId="10" xfId="3" applyNumberFormat="1" applyFont="1" applyFill="1" applyBorder="1" applyAlignment="1" applyProtection="1">
      <alignment horizontal="centerContinuous" vertical="center"/>
    </xf>
    <xf numFmtId="39" fontId="10" fillId="10" borderId="63" xfId="3" applyNumberFormat="1" applyFont="1" applyFill="1" applyBorder="1" applyAlignment="1" applyProtection="1">
      <alignment horizontal="centerContinuous" vertical="center"/>
    </xf>
    <xf numFmtId="0" fontId="4" fillId="8" borderId="10" xfId="1" applyFill="1" applyBorder="1" applyAlignment="1">
      <alignment horizontal="center" vertical="center"/>
    </xf>
    <xf numFmtId="0" fontId="4" fillId="8" borderId="10" xfId="1" applyFill="1" applyBorder="1" applyAlignment="1">
      <alignment vertical="center"/>
    </xf>
    <xf numFmtId="0" fontId="4" fillId="8" borderId="13" xfId="1" applyFill="1" applyBorder="1" applyAlignment="1">
      <alignment vertical="center"/>
    </xf>
    <xf numFmtId="0" fontId="4" fillId="7" borderId="12" xfId="1" applyFill="1" applyBorder="1" applyAlignment="1">
      <alignment horizontal="center" vertical="center"/>
    </xf>
    <xf numFmtId="0" fontId="4" fillId="7" borderId="10" xfId="1" applyFill="1" applyBorder="1" applyAlignment="1">
      <alignment vertical="center"/>
    </xf>
    <xf numFmtId="164" fontId="4" fillId="7" borderId="10" xfId="3" applyFont="1" applyFill="1" applyBorder="1" applyAlignment="1" applyProtection="1">
      <alignment horizontal="center" vertical="center"/>
    </xf>
    <xf numFmtId="39" fontId="15" fillId="10" borderId="63" xfId="3" applyNumberFormat="1" applyFont="1" applyFill="1" applyBorder="1" applyAlignment="1" applyProtection="1">
      <alignment horizontal="centerContinuous" vertical="center"/>
    </xf>
    <xf numFmtId="0" fontId="5" fillId="7" borderId="10" xfId="1" applyFont="1" applyFill="1" applyBorder="1" applyAlignment="1">
      <alignment vertical="center"/>
    </xf>
    <xf numFmtId="0" fontId="4" fillId="7" borderId="10" xfId="1" applyFill="1" applyBorder="1" applyAlignment="1">
      <alignment horizontal="center" vertical="center"/>
    </xf>
    <xf numFmtId="0" fontId="4" fillId="7" borderId="13" xfId="1" applyFill="1" applyBorder="1" applyAlignment="1">
      <alignment vertical="center"/>
    </xf>
    <xf numFmtId="0" fontId="5" fillId="0" borderId="0" xfId="0" applyFont="1" applyAlignment="1">
      <alignment horizontal="left" vertical="center"/>
    </xf>
    <xf numFmtId="49" fontId="5" fillId="0" borderId="14" xfId="1" applyNumberFormat="1" applyFont="1" applyBorder="1" applyAlignment="1">
      <alignment vertical="center"/>
    </xf>
    <xf numFmtId="0" fontId="4" fillId="0" borderId="64" xfId="0" applyFont="1" applyBorder="1" applyAlignment="1">
      <alignment vertical="center"/>
    </xf>
    <xf numFmtId="0" fontId="4" fillId="7" borderId="14" xfId="0" applyFont="1" applyFill="1" applyBorder="1" applyAlignment="1">
      <alignment vertical="center"/>
    </xf>
    <xf numFmtId="164" fontId="4" fillId="7" borderId="0" xfId="3" applyFont="1" applyFill="1" applyBorder="1" applyAlignment="1" applyProtection="1">
      <alignment horizontal="center" vertical="center"/>
    </xf>
    <xf numFmtId="0" fontId="4" fillId="7" borderId="15" xfId="1" applyFill="1" applyBorder="1" applyAlignment="1">
      <alignment horizontal="left" vertical="center"/>
    </xf>
    <xf numFmtId="49" fontId="15" fillId="9" borderId="14" xfId="0" applyNumberFormat="1" applyFont="1" applyFill="1" applyBorder="1" applyAlignment="1">
      <alignment horizontal="center" vertical="center"/>
    </xf>
    <xf numFmtId="4" fontId="15" fillId="9" borderId="64" xfId="1" applyNumberFormat="1" applyFont="1" applyFill="1" applyBorder="1" applyAlignment="1">
      <alignment horizontal="center" vertical="center"/>
    </xf>
    <xf numFmtId="0" fontId="15" fillId="9" borderId="15" xfId="1" applyFont="1" applyFill="1" applyBorder="1" applyAlignment="1" applyProtection="1">
      <alignment horizontal="centerContinuous" vertical="center"/>
      <protection locked="0"/>
    </xf>
    <xf numFmtId="0" fontId="4" fillId="7" borderId="14" xfId="1" applyFill="1" applyBorder="1" applyAlignment="1">
      <alignment horizontal="center" vertical="center"/>
    </xf>
    <xf numFmtId="0" fontId="4" fillId="7" borderId="15" xfId="1" applyFill="1" applyBorder="1" applyAlignment="1">
      <alignment vertical="center"/>
    </xf>
    <xf numFmtId="49" fontId="10" fillId="0" borderId="14" xfId="0" applyNumberFormat="1" applyFont="1" applyBorder="1" applyAlignment="1">
      <alignment vertical="center"/>
    </xf>
    <xf numFmtId="0" fontId="5" fillId="0" borderId="64" xfId="1" applyFont="1" applyBorder="1" applyAlignment="1">
      <alignment horizontal="right" vertical="center"/>
    </xf>
    <xf numFmtId="0" fontId="5" fillId="8" borderId="15" xfId="1" applyFont="1" applyFill="1" applyBorder="1" applyAlignment="1" applyProtection="1">
      <alignment vertical="center"/>
      <protection locked="0"/>
    </xf>
    <xf numFmtId="0" fontId="5" fillId="8" borderId="15" xfId="1" applyFont="1" applyFill="1" applyBorder="1" applyAlignment="1">
      <alignment vertical="center"/>
    </xf>
    <xf numFmtId="49" fontId="4" fillId="0" borderId="14" xfId="0" applyNumberFormat="1" applyFont="1" applyBorder="1" applyAlignment="1">
      <alignment horizontal="center" vertical="center"/>
    </xf>
    <xf numFmtId="10" fontId="5" fillId="0" borderId="27" xfId="5" applyNumberFormat="1" applyFont="1" applyFill="1" applyBorder="1" applyAlignment="1" applyProtection="1">
      <alignment horizontal="right" vertical="center"/>
      <protection locked="0"/>
    </xf>
    <xf numFmtId="10" fontId="5" fillId="2" borderId="27" xfId="5" applyNumberFormat="1" applyFont="1" applyFill="1" applyBorder="1" applyAlignment="1" applyProtection="1">
      <alignment horizontal="right" vertical="center"/>
      <protection locked="0"/>
    </xf>
    <xf numFmtId="49" fontId="10" fillId="0" borderId="16" xfId="0" applyNumberFormat="1" applyFont="1" applyBorder="1" applyAlignment="1">
      <alignment vertical="center"/>
    </xf>
    <xf numFmtId="49" fontId="10" fillId="0" borderId="11" xfId="0" applyNumberFormat="1" applyFont="1" applyBorder="1" applyAlignment="1">
      <alignment vertical="center"/>
    </xf>
    <xf numFmtId="0" fontId="5" fillId="0" borderId="56" xfId="1" applyFont="1" applyBorder="1" applyAlignment="1">
      <alignment horizontal="right" vertical="center"/>
    </xf>
    <xf numFmtId="0" fontId="5" fillId="8" borderId="11" xfId="1" applyFont="1" applyFill="1" applyBorder="1" applyAlignment="1">
      <alignment horizontal="right" vertical="center"/>
    </xf>
    <xf numFmtId="169" fontId="5" fillId="8" borderId="27" xfId="1" applyNumberFormat="1" applyFont="1" applyFill="1" applyBorder="1" applyAlignment="1" applyProtection="1">
      <alignment horizontal="right" vertical="center"/>
      <protection locked="0"/>
    </xf>
    <xf numFmtId="0" fontId="5" fillId="8" borderId="17" xfId="1" applyFont="1" applyFill="1" applyBorder="1" applyAlignment="1" applyProtection="1">
      <alignment vertical="center"/>
      <protection locked="0"/>
    </xf>
    <xf numFmtId="0" fontId="4" fillId="7" borderId="16" xfId="1" applyFill="1" applyBorder="1" applyAlignment="1">
      <alignment horizontal="center" vertical="center"/>
    </xf>
    <xf numFmtId="0" fontId="4" fillId="7" borderId="11" xfId="1" applyFill="1" applyBorder="1" applyAlignment="1">
      <alignment vertical="center"/>
    </xf>
    <xf numFmtId="164" fontId="4" fillId="7" borderId="11" xfId="3" applyFont="1" applyFill="1" applyBorder="1" applyAlignment="1" applyProtection="1">
      <alignment horizontal="center" vertical="center"/>
    </xf>
    <xf numFmtId="0" fontId="5" fillId="7" borderId="11" xfId="1" applyFont="1" applyFill="1" applyBorder="1" applyAlignment="1">
      <alignment vertical="center"/>
    </xf>
    <xf numFmtId="0" fontId="4" fillId="7" borderId="11" xfId="1" applyFill="1" applyBorder="1" applyAlignment="1">
      <alignment horizontal="center" vertical="center"/>
    </xf>
    <xf numFmtId="0" fontId="4" fillId="7" borderId="17" xfId="1" applyFill="1" applyBorder="1" applyAlignment="1">
      <alignment vertical="center"/>
    </xf>
    <xf numFmtId="49" fontId="5" fillId="5" borderId="57" xfId="0" applyNumberFormat="1" applyFont="1" applyFill="1" applyBorder="1" applyAlignment="1" applyProtection="1">
      <alignment horizontal="left" vertical="center"/>
      <protection locked="0"/>
    </xf>
    <xf numFmtId="49" fontId="5" fillId="5" borderId="59" xfId="0" applyNumberFormat="1" applyFont="1" applyFill="1" applyBorder="1" applyAlignment="1" applyProtection="1">
      <alignment horizontal="center" vertical="center"/>
      <protection locked="0"/>
    </xf>
    <xf numFmtId="49" fontId="5" fillId="5" borderId="60" xfId="0" applyNumberFormat="1" applyFont="1" applyFill="1" applyBorder="1" applyAlignment="1" applyProtection="1">
      <alignment horizontal="center" vertical="center"/>
      <protection locked="0"/>
    </xf>
    <xf numFmtId="49" fontId="5" fillId="5" borderId="21" xfId="0" applyNumberFormat="1" applyFont="1" applyFill="1" applyBorder="1" applyAlignment="1" applyProtection="1">
      <alignment horizontal="center" vertical="center"/>
      <protection locked="0"/>
    </xf>
    <xf numFmtId="0" fontId="5" fillId="5" borderId="20" xfId="0" applyFont="1" applyFill="1" applyBorder="1" applyAlignment="1" applyProtection="1">
      <alignment horizontal="left" vertical="center"/>
      <protection locked="0"/>
    </xf>
    <xf numFmtId="0" fontId="5" fillId="5" borderId="19" xfId="0" applyFont="1" applyFill="1" applyBorder="1" applyAlignment="1" applyProtection="1">
      <alignment horizontal="left" vertical="center"/>
      <protection locked="0"/>
    </xf>
    <xf numFmtId="0" fontId="5" fillId="5" borderId="21" xfId="0" applyFont="1" applyFill="1" applyBorder="1" applyAlignment="1" applyProtection="1">
      <alignment horizontal="left" vertical="center"/>
      <protection locked="0"/>
    </xf>
    <xf numFmtId="49" fontId="5" fillId="0" borderId="65" xfId="0" applyNumberFormat="1" applyFont="1" applyBorder="1" applyAlignment="1">
      <alignment horizontal="left" vertical="center"/>
    </xf>
    <xf numFmtId="0" fontId="5" fillId="0" borderId="73" xfId="0" applyFont="1" applyBorder="1" applyAlignment="1" applyProtection="1">
      <alignment horizontal="left" vertical="center"/>
      <protection locked="0"/>
    </xf>
    <xf numFmtId="49" fontId="5" fillId="5" borderId="74" xfId="0" applyNumberFormat="1" applyFont="1" applyFill="1" applyBorder="1" applyAlignment="1" applyProtection="1">
      <alignment horizontal="left" vertical="center"/>
      <protection locked="0"/>
    </xf>
    <xf numFmtId="49" fontId="5" fillId="5" borderId="73" xfId="0" applyNumberFormat="1" applyFont="1" applyFill="1" applyBorder="1" applyAlignment="1" applyProtection="1">
      <alignment horizontal="center" vertical="center"/>
      <protection locked="0"/>
    </xf>
    <xf numFmtId="49" fontId="5" fillId="5" borderId="75" xfId="0" applyNumberFormat="1" applyFont="1" applyFill="1" applyBorder="1" applyAlignment="1" applyProtection="1">
      <alignment horizontal="center" vertical="center"/>
      <protection locked="0"/>
    </xf>
    <xf numFmtId="0" fontId="5" fillId="5" borderId="65" xfId="0" applyFont="1" applyFill="1" applyBorder="1" applyAlignment="1" applyProtection="1">
      <alignment horizontal="left" vertical="center"/>
      <protection locked="0"/>
    </xf>
    <xf numFmtId="0" fontId="5" fillId="5" borderId="61" xfId="0" applyFont="1" applyFill="1" applyBorder="1" applyAlignment="1" applyProtection="1">
      <alignment horizontal="left" vertical="center"/>
      <protection locked="0"/>
    </xf>
    <xf numFmtId="0" fontId="5" fillId="5" borderId="53" xfId="0" applyFont="1" applyFill="1" applyBorder="1" applyAlignment="1" applyProtection="1">
      <alignment horizontal="left" vertical="center"/>
      <protection locked="0"/>
    </xf>
    <xf numFmtId="49" fontId="5" fillId="0" borderId="16" xfId="0" applyNumberFormat="1" applyFont="1" applyBorder="1" applyAlignment="1">
      <alignment horizontal="left" vertical="center"/>
    </xf>
    <xf numFmtId="0" fontId="5" fillId="0" borderId="56" xfId="0" applyFont="1" applyBorder="1" applyAlignment="1" applyProtection="1">
      <alignment horizontal="left" vertical="center"/>
      <protection locked="0"/>
    </xf>
    <xf numFmtId="49" fontId="5" fillId="5" borderId="58" xfId="0" applyNumberFormat="1" applyFont="1" applyFill="1" applyBorder="1" applyAlignment="1" applyProtection="1">
      <alignment horizontal="left" vertical="center"/>
      <protection locked="0"/>
    </xf>
    <xf numFmtId="49" fontId="5" fillId="5" borderId="11" xfId="0" applyNumberFormat="1" applyFont="1" applyFill="1" applyBorder="1" applyAlignment="1" applyProtection="1">
      <alignment horizontal="center" vertical="center"/>
      <protection locked="0"/>
    </xf>
    <xf numFmtId="49" fontId="5" fillId="5" borderId="72" xfId="0" applyNumberFormat="1" applyFont="1" applyFill="1" applyBorder="1" applyAlignment="1" applyProtection="1">
      <alignment horizontal="center" vertical="center"/>
      <protection locked="0"/>
    </xf>
    <xf numFmtId="49" fontId="5" fillId="5" borderId="17" xfId="0" applyNumberFormat="1" applyFont="1" applyFill="1" applyBorder="1" applyAlignment="1" applyProtection="1">
      <alignment horizontal="center" vertical="center"/>
      <protection locked="0"/>
    </xf>
    <xf numFmtId="0" fontId="5" fillId="5" borderId="16" xfId="0" applyFont="1" applyFill="1" applyBorder="1" applyAlignment="1" applyProtection="1">
      <alignment horizontal="left" vertical="center"/>
      <protection locked="0"/>
    </xf>
    <xf numFmtId="0" fontId="5" fillId="5" borderId="11" xfId="0" applyFont="1" applyFill="1" applyBorder="1" applyAlignment="1" applyProtection="1">
      <alignment horizontal="left" vertical="center"/>
      <protection locked="0"/>
    </xf>
    <xf numFmtId="0" fontId="5" fillId="5" borderId="17" xfId="0" applyFont="1" applyFill="1" applyBorder="1" applyAlignment="1" applyProtection="1">
      <alignment horizontal="left" vertical="center"/>
      <protection locked="0"/>
    </xf>
    <xf numFmtId="49" fontId="5" fillId="0" borderId="12" xfId="0" applyNumberFormat="1" applyFont="1" applyBorder="1" applyAlignment="1">
      <alignment horizontal="center" vertical="center" wrapText="1"/>
    </xf>
    <xf numFmtId="49" fontId="5" fillId="0" borderId="18" xfId="0" applyNumberFormat="1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Continuous" vertical="center" wrapText="1"/>
    </xf>
    <xf numFmtId="0" fontId="5" fillId="0" borderId="2" xfId="1" applyFont="1" applyBorder="1" applyAlignment="1">
      <alignment horizontal="center" vertical="center"/>
    </xf>
    <xf numFmtId="0" fontId="5" fillId="0" borderId="28" xfId="1" applyFont="1" applyBorder="1" applyAlignment="1">
      <alignment horizontal="center" vertical="center"/>
    </xf>
    <xf numFmtId="0" fontId="5" fillId="0" borderId="48" xfId="1" applyFont="1" applyBorder="1" applyAlignment="1">
      <alignment horizontal="center" vertical="center"/>
    </xf>
    <xf numFmtId="0" fontId="8" fillId="0" borderId="61" xfId="0" applyFont="1" applyBorder="1" applyAlignment="1">
      <alignment horizontal="left" vertical="center"/>
    </xf>
    <xf numFmtId="0" fontId="8" fillId="0" borderId="43" xfId="0" applyFont="1" applyBorder="1" applyAlignment="1">
      <alignment horizontal="centerContinuous" vertical="center"/>
    </xf>
    <xf numFmtId="0" fontId="4" fillId="0" borderId="16" xfId="0" quotePrefix="1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17" xfId="1" applyBorder="1" applyAlignment="1">
      <alignment vertical="center"/>
    </xf>
    <xf numFmtId="4" fontId="13" fillId="0" borderId="3" xfId="0" applyNumberFormat="1" applyFont="1" applyBorder="1" applyAlignment="1">
      <alignment vertical="center"/>
    </xf>
    <xf numFmtId="4" fontId="14" fillId="0" borderId="37" xfId="0" applyNumberFormat="1" applyFont="1" applyBorder="1" applyAlignment="1">
      <alignment vertical="center"/>
    </xf>
    <xf numFmtId="4" fontId="5" fillId="0" borderId="3" xfId="1" applyNumberFormat="1" applyFont="1" applyBorder="1" applyAlignment="1">
      <alignment vertical="center"/>
    </xf>
    <xf numFmtId="4" fontId="5" fillId="0" borderId="26" xfId="1" applyNumberFormat="1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" fontId="4" fillId="0" borderId="29" xfId="1" applyNumberFormat="1" applyBorder="1" applyAlignment="1">
      <alignment vertical="center"/>
    </xf>
    <xf numFmtId="2" fontId="4" fillId="0" borderId="6" xfId="1" applyNumberFormat="1" applyBorder="1" applyAlignment="1">
      <alignment horizontal="center" vertical="center"/>
    </xf>
    <xf numFmtId="2" fontId="5" fillId="0" borderId="6" xfId="1" applyNumberFormat="1" applyFont="1" applyBorder="1" applyAlignment="1">
      <alignment horizontal="center" vertical="center"/>
    </xf>
    <xf numFmtId="2" fontId="4" fillId="0" borderId="32" xfId="1" applyNumberFormat="1" applyBorder="1" applyAlignment="1">
      <alignment horizontal="center" vertical="center"/>
    </xf>
    <xf numFmtId="0" fontId="4" fillId="0" borderId="53" xfId="1" applyBorder="1" applyAlignment="1">
      <alignment vertical="center" wrapText="1"/>
    </xf>
    <xf numFmtId="4" fontId="4" fillId="0" borderId="32" xfId="1" applyNumberFormat="1" applyBorder="1" applyAlignment="1">
      <alignment vertical="center"/>
    </xf>
    <xf numFmtId="4" fontId="5" fillId="3" borderId="0" xfId="0" applyNumberFormat="1" applyFont="1" applyFill="1" applyAlignment="1">
      <alignment horizontal="right" vertical="center"/>
    </xf>
    <xf numFmtId="0" fontId="5" fillId="0" borderId="6" xfId="0" applyFont="1" applyBorder="1" applyAlignment="1">
      <alignment horizontal="center" vertical="center"/>
    </xf>
    <xf numFmtId="0" fontId="5" fillId="0" borderId="53" xfId="1" applyFont="1" applyBorder="1" applyAlignment="1">
      <alignment vertical="center" wrapText="1"/>
    </xf>
    <xf numFmtId="0" fontId="5" fillId="4" borderId="44" xfId="1" applyFont="1" applyFill="1" applyBorder="1" applyAlignment="1">
      <alignment vertical="center"/>
    </xf>
    <xf numFmtId="4" fontId="13" fillId="0" borderId="65" xfId="0" applyNumberFormat="1" applyFont="1" applyBorder="1" applyAlignment="1">
      <alignment vertical="center"/>
    </xf>
    <xf numFmtId="4" fontId="14" fillId="0" borderId="53" xfId="0" applyNumberFormat="1" applyFont="1" applyBorder="1" applyAlignment="1">
      <alignment vertical="center"/>
    </xf>
    <xf numFmtId="4" fontId="5" fillId="0" borderId="65" xfId="1" applyNumberFormat="1" applyFont="1" applyBorder="1" applyAlignment="1">
      <alignment vertical="center"/>
    </xf>
    <xf numFmtId="4" fontId="5" fillId="0" borderId="61" xfId="1" applyNumberFormat="1" applyFont="1" applyBorder="1" applyAlignment="1">
      <alignment vertical="center"/>
    </xf>
    <xf numFmtId="4" fontId="5" fillId="0" borderId="53" xfId="1" applyNumberFormat="1" applyFont="1" applyBorder="1" applyAlignment="1">
      <alignment vertical="center"/>
    </xf>
    <xf numFmtId="49" fontId="15" fillId="7" borderId="6" xfId="0" quotePrefix="1" applyNumberFormat="1" applyFont="1" applyFill="1" applyBorder="1" applyAlignment="1" applyProtection="1">
      <alignment horizontal="center" vertical="center"/>
      <protection locked="0"/>
    </xf>
    <xf numFmtId="0" fontId="4" fillId="7" borderId="32" xfId="0" applyFont="1" applyFill="1" applyBorder="1" applyAlignment="1" applyProtection="1">
      <alignment horizontal="left" vertical="center" wrapText="1"/>
      <protection locked="0"/>
    </xf>
    <xf numFmtId="0" fontId="5" fillId="7" borderId="53" xfId="1" applyFont="1" applyFill="1" applyBorder="1" applyAlignment="1">
      <alignment vertical="center"/>
    </xf>
    <xf numFmtId="2" fontId="4" fillId="0" borderId="30" xfId="1" applyNumberFormat="1" applyBorder="1" applyAlignment="1">
      <alignment horizontal="left" vertical="center"/>
    </xf>
    <xf numFmtId="167" fontId="4" fillId="0" borderId="32" xfId="1" applyNumberFormat="1" applyBorder="1" applyAlignment="1">
      <alignment horizontal="left" vertical="center"/>
    </xf>
    <xf numFmtId="2" fontId="4" fillId="0" borderId="6" xfId="1" applyNumberFormat="1" applyBorder="1" applyAlignment="1">
      <alignment horizontal="left" vertical="center"/>
    </xf>
    <xf numFmtId="2" fontId="4" fillId="0" borderId="6" xfId="1" applyNumberFormat="1" applyBorder="1" applyAlignment="1">
      <alignment horizontal="right" vertical="center"/>
    </xf>
    <xf numFmtId="2" fontId="5" fillId="0" borderId="6" xfId="1" applyNumberFormat="1" applyFont="1" applyBorder="1" applyAlignment="1">
      <alignment horizontal="right" vertical="center"/>
    </xf>
    <xf numFmtId="2" fontId="5" fillId="7" borderId="32" xfId="1" applyNumberFormat="1" applyFont="1" applyFill="1" applyBorder="1" applyAlignment="1">
      <alignment horizontal="center" vertical="center"/>
    </xf>
    <xf numFmtId="0" fontId="4" fillId="7" borderId="46" xfId="0" applyFont="1" applyFill="1" applyBorder="1" applyAlignment="1" applyProtection="1">
      <alignment horizontal="left" vertical="center" wrapText="1"/>
      <protection locked="0"/>
    </xf>
    <xf numFmtId="2" fontId="4" fillId="0" borderId="43" xfId="1" applyNumberFormat="1" applyBorder="1" applyAlignment="1">
      <alignment horizontal="left" vertical="center"/>
    </xf>
    <xf numFmtId="2" fontId="5" fillId="0" borderId="29" xfId="1" applyNumberFormat="1" applyFont="1" applyBorder="1" applyAlignment="1">
      <alignment horizontal="right" vertical="center"/>
    </xf>
    <xf numFmtId="49" fontId="15" fillId="7" borderId="23" xfId="0" quotePrefix="1" applyNumberFormat="1" applyFont="1" applyFill="1" applyBorder="1" applyAlignment="1" applyProtection="1">
      <alignment horizontal="center" vertical="center"/>
      <protection locked="0"/>
    </xf>
    <xf numFmtId="0" fontId="4" fillId="7" borderId="50" xfId="0" applyFont="1" applyFill="1" applyBorder="1" applyAlignment="1" applyProtection="1">
      <alignment horizontal="left" vertical="center" wrapText="1"/>
      <protection locked="0"/>
    </xf>
    <xf numFmtId="0" fontId="5" fillId="7" borderId="54" xfId="1" applyFont="1" applyFill="1" applyBorder="1" applyAlignment="1">
      <alignment vertical="center"/>
    </xf>
    <xf numFmtId="2" fontId="4" fillId="0" borderId="42" xfId="1" applyNumberFormat="1" applyBorder="1" applyAlignment="1">
      <alignment horizontal="left" vertical="center"/>
    </xf>
    <xf numFmtId="167" fontId="4" fillId="0" borderId="40" xfId="1" applyNumberFormat="1" applyBorder="1" applyAlignment="1">
      <alignment horizontal="left" vertical="center"/>
    </xf>
    <xf numFmtId="2" fontId="4" fillId="0" borderId="38" xfId="1" applyNumberFormat="1" applyBorder="1" applyAlignment="1">
      <alignment horizontal="left" vertical="center"/>
    </xf>
    <xf numFmtId="2" fontId="4" fillId="0" borderId="39" xfId="1" applyNumberFormat="1" applyBorder="1" applyAlignment="1">
      <alignment horizontal="left" vertical="center"/>
    </xf>
    <xf numFmtId="2" fontId="4" fillId="0" borderId="39" xfId="1" applyNumberFormat="1" applyBorder="1" applyAlignment="1">
      <alignment horizontal="right" vertical="center"/>
    </xf>
    <xf numFmtId="2" fontId="5" fillId="0" borderId="1" xfId="1" applyNumberFormat="1" applyFont="1" applyBorder="1" applyAlignment="1">
      <alignment horizontal="right" vertical="center"/>
    </xf>
    <xf numFmtId="2" fontId="5" fillId="7" borderId="40" xfId="1" applyNumberFormat="1" applyFont="1" applyFill="1" applyBorder="1" applyAlignment="1">
      <alignment horizontal="center" vertical="center"/>
    </xf>
    <xf numFmtId="4" fontId="4" fillId="0" borderId="39" xfId="1" applyNumberFormat="1" applyBorder="1" applyAlignment="1">
      <alignment vertical="center"/>
    </xf>
    <xf numFmtId="0" fontId="13" fillId="4" borderId="27" xfId="0" applyFont="1" applyFill="1" applyBorder="1" applyAlignment="1">
      <alignment horizontal="center" vertical="center"/>
    </xf>
    <xf numFmtId="4" fontId="4" fillId="5" borderId="6" xfId="0" applyNumberFormat="1" applyFont="1" applyFill="1" applyBorder="1" applyAlignment="1" applyProtection="1">
      <alignment vertical="center"/>
      <protection locked="0"/>
    </xf>
    <xf numFmtId="49" fontId="5" fillId="0" borderId="36" xfId="0" applyNumberFormat="1" applyFont="1" applyBorder="1" applyAlignment="1">
      <alignment horizontal="center" vertical="center"/>
    </xf>
    <xf numFmtId="0" fontId="8" fillId="0" borderId="37" xfId="0" applyFont="1" applyBorder="1" applyAlignment="1">
      <alignment vertical="center" wrapText="1"/>
    </xf>
    <xf numFmtId="0" fontId="4" fillId="0" borderId="53" xfId="1" applyBorder="1" applyAlignment="1">
      <alignment horizontal="left" vertical="center" wrapText="1"/>
    </xf>
    <xf numFmtId="4" fontId="4" fillId="0" borderId="43" xfId="0" applyNumberFormat="1" applyFont="1" applyBorder="1" applyAlignment="1">
      <alignment horizontal="center" vertical="center"/>
    </xf>
    <xf numFmtId="4" fontId="4" fillId="0" borderId="6" xfId="0" applyNumberFormat="1" applyFont="1" applyBorder="1" applyAlignment="1">
      <alignment horizontal="center" vertical="center"/>
    </xf>
    <xf numFmtId="2" fontId="4" fillId="7" borderId="32" xfId="1" applyNumberFormat="1" applyFill="1" applyBorder="1" applyAlignment="1">
      <alignment horizontal="center" vertical="center"/>
    </xf>
    <xf numFmtId="2" fontId="4" fillId="7" borderId="40" xfId="1" applyNumberFormat="1" applyFill="1" applyBorder="1" applyAlignment="1">
      <alignment horizontal="center" vertical="center"/>
    </xf>
    <xf numFmtId="4" fontId="4" fillId="5" borderId="1" xfId="0" applyNumberFormat="1" applyFont="1" applyFill="1" applyBorder="1" applyAlignment="1" applyProtection="1">
      <alignment vertical="center"/>
      <protection locked="0"/>
    </xf>
    <xf numFmtId="4" fontId="4" fillId="0" borderId="80" xfId="1" applyNumberFormat="1" applyBorder="1" applyAlignment="1">
      <alignment vertical="center"/>
    </xf>
    <xf numFmtId="4" fontId="4" fillId="0" borderId="82" xfId="1" applyNumberFormat="1" applyBorder="1" applyAlignment="1">
      <alignment vertical="center"/>
    </xf>
    <xf numFmtId="4" fontId="4" fillId="0" borderId="23" xfId="1" applyNumberFormat="1" applyBorder="1" applyAlignment="1">
      <alignment vertical="center"/>
    </xf>
    <xf numFmtId="4" fontId="4" fillId="0" borderId="84" xfId="1" applyNumberFormat="1" applyBorder="1" applyAlignment="1">
      <alignment vertical="center"/>
    </xf>
    <xf numFmtId="2" fontId="5" fillId="0" borderId="32" xfId="1" applyNumberFormat="1" applyFont="1" applyBorder="1" applyAlignment="1">
      <alignment horizontal="center" vertical="center"/>
    </xf>
    <xf numFmtId="4" fontId="4" fillId="0" borderId="1" xfId="1" applyNumberFormat="1" applyBorder="1" applyAlignment="1">
      <alignment vertical="center"/>
    </xf>
    <xf numFmtId="4" fontId="4" fillId="0" borderId="22" xfId="1" applyNumberFormat="1" applyBorder="1" applyAlignment="1">
      <alignment vertical="center"/>
    </xf>
    <xf numFmtId="4" fontId="4" fillId="0" borderId="50" xfId="1" applyNumberFormat="1" applyBorder="1" applyAlignment="1">
      <alignment vertical="center"/>
    </xf>
    <xf numFmtId="4" fontId="4" fillId="5" borderId="29" xfId="0" applyNumberFormat="1" applyFont="1" applyFill="1" applyBorder="1" applyAlignment="1" applyProtection="1">
      <alignment horizontal="right" vertical="center"/>
      <protection locked="0"/>
    </xf>
    <xf numFmtId="0" fontId="16" fillId="6" borderId="0" xfId="0" applyFont="1" applyFill="1" applyAlignment="1">
      <alignment vertical="center"/>
    </xf>
    <xf numFmtId="0" fontId="5" fillId="0" borderId="37" xfId="1" applyFont="1" applyBorder="1" applyAlignment="1">
      <alignment horizontal="left" vertical="center"/>
    </xf>
    <xf numFmtId="4" fontId="5" fillId="5" borderId="62" xfId="0" applyNumberFormat="1" applyFont="1" applyFill="1" applyBorder="1" applyAlignment="1" applyProtection="1">
      <alignment vertical="center"/>
      <protection locked="0"/>
    </xf>
    <xf numFmtId="0" fontId="4" fillId="0" borderId="0" xfId="0" applyFont="1" applyAlignment="1">
      <alignment horizontal="left" vertical="center"/>
    </xf>
    <xf numFmtId="164" fontId="4" fillId="0" borderId="0" xfId="3" applyFont="1" applyFill="1" applyAlignment="1">
      <alignment vertical="center"/>
    </xf>
    <xf numFmtId="43" fontId="4" fillId="0" borderId="0" xfId="0" quotePrefix="1" applyNumberFormat="1" applyFont="1" applyAlignment="1">
      <alignment vertical="center"/>
    </xf>
    <xf numFmtId="0" fontId="38" fillId="0" borderId="0" xfId="4" applyFont="1" applyAlignment="1">
      <alignment vertical="center"/>
    </xf>
    <xf numFmtId="0" fontId="18" fillId="0" borderId="0" xfId="6" applyProtection="1">
      <protection locked="0"/>
    </xf>
    <xf numFmtId="0" fontId="5" fillId="0" borderId="3" xfId="0" applyFont="1" applyBorder="1" applyAlignment="1">
      <alignment horizontal="centerContinuous" vertical="center" wrapText="1"/>
    </xf>
    <xf numFmtId="0" fontId="5" fillId="0" borderId="59" xfId="0" applyFont="1" applyBorder="1" applyAlignment="1" applyProtection="1">
      <alignment horizontal="left" vertical="center"/>
      <protection locked="0"/>
    </xf>
    <xf numFmtId="49" fontId="5" fillId="0" borderId="20" xfId="0" applyNumberFormat="1" applyFont="1" applyBorder="1" applyAlignment="1">
      <alignment horizontal="left" vertical="center"/>
    </xf>
    <xf numFmtId="2" fontId="4" fillId="0" borderId="3" xfId="1" applyNumberFormat="1" applyBorder="1" applyAlignment="1">
      <alignment horizontal="center" vertical="center"/>
    </xf>
    <xf numFmtId="0" fontId="18" fillId="0" borderId="0" xfId="6" applyAlignment="1">
      <alignment vertical="center"/>
    </xf>
    <xf numFmtId="0" fontId="18" fillId="0" borderId="0" xfId="6" applyAlignment="1" applyProtection="1">
      <alignment vertical="center"/>
      <protection locked="0"/>
    </xf>
    <xf numFmtId="2" fontId="23" fillId="0" borderId="65" xfId="6" applyNumberFormat="1" applyFont="1" applyBorder="1" applyAlignment="1">
      <alignment horizontal="right" vertical="center"/>
    </xf>
    <xf numFmtId="2" fontId="23" fillId="0" borderId="53" xfId="6" applyNumberFormat="1" applyFont="1" applyBorder="1" applyAlignment="1">
      <alignment horizontal="center" vertical="center"/>
    </xf>
    <xf numFmtId="0" fontId="25" fillId="0" borderId="0" xfId="6" applyFont="1" applyAlignment="1">
      <alignment vertical="center"/>
    </xf>
    <xf numFmtId="2" fontId="23" fillId="0" borderId="158" xfId="6" applyNumberFormat="1" applyFont="1" applyBorder="1" applyAlignment="1">
      <alignment horizontal="right" vertical="center"/>
    </xf>
    <xf numFmtId="2" fontId="23" fillId="0" borderId="54" xfId="6" applyNumberFormat="1" applyFont="1" applyBorder="1" applyAlignment="1">
      <alignment horizontal="center" vertical="center"/>
    </xf>
    <xf numFmtId="0" fontId="22" fillId="0" borderId="3" xfId="6" applyFont="1" applyBorder="1" applyAlignment="1">
      <alignment horizontal="right" vertical="center"/>
    </xf>
    <xf numFmtId="2" fontId="22" fillId="0" borderId="37" xfId="6" applyNumberFormat="1" applyFont="1" applyBorder="1" applyAlignment="1">
      <alignment horizontal="center" vertical="center"/>
    </xf>
    <xf numFmtId="2" fontId="18" fillId="0" borderId="0" xfId="6" applyNumberFormat="1" applyAlignment="1" applyProtection="1">
      <alignment vertical="center"/>
      <protection locked="0"/>
    </xf>
    <xf numFmtId="0" fontId="22" fillId="0" borderId="76" xfId="6" applyFont="1" applyBorder="1" applyAlignment="1">
      <alignment vertical="center"/>
    </xf>
    <xf numFmtId="2" fontId="23" fillId="0" borderId="79" xfId="6" applyNumberFormat="1" applyFont="1" applyBorder="1" applyAlignment="1">
      <alignment horizontal="center" vertical="center"/>
    </xf>
    <xf numFmtId="2" fontId="23" fillId="0" borderId="51" xfId="6" applyNumberFormat="1" applyFont="1" applyBorder="1" applyAlignment="1">
      <alignment horizontal="center" vertical="center"/>
    </xf>
    <xf numFmtId="0" fontId="18" fillId="0" borderId="0" xfId="6" quotePrefix="1" applyAlignment="1" applyProtection="1">
      <alignment vertical="center"/>
      <protection locked="0"/>
    </xf>
    <xf numFmtId="2" fontId="23" fillId="7" borderId="35" xfId="6" applyNumberFormat="1" applyFont="1" applyFill="1" applyBorder="1" applyAlignment="1" applyProtection="1">
      <alignment horizontal="center" vertical="center"/>
      <protection locked="0"/>
    </xf>
    <xf numFmtId="2" fontId="23" fillId="7" borderId="51" xfId="6" applyNumberFormat="1" applyFont="1" applyFill="1" applyBorder="1" applyAlignment="1" applyProtection="1">
      <alignment horizontal="center" vertical="center"/>
      <protection locked="0"/>
    </xf>
    <xf numFmtId="164" fontId="18" fillId="0" borderId="0" xfId="3" applyFont="1" applyFill="1" applyAlignment="1" applyProtection="1">
      <alignment vertical="center"/>
    </xf>
    <xf numFmtId="0" fontId="22" fillId="0" borderId="65" xfId="6" applyFont="1" applyBorder="1" applyAlignment="1">
      <alignment vertical="center"/>
    </xf>
    <xf numFmtId="2" fontId="23" fillId="7" borderId="30" xfId="6" applyNumberFormat="1" applyFont="1" applyFill="1" applyBorder="1" applyAlignment="1" applyProtection="1">
      <alignment horizontal="center" vertical="center"/>
      <protection locked="0"/>
    </xf>
    <xf numFmtId="2" fontId="23" fillId="7" borderId="53" xfId="6" applyNumberFormat="1" applyFont="1" applyFill="1" applyBorder="1" applyAlignment="1" applyProtection="1">
      <alignment horizontal="center" vertical="center"/>
      <protection locked="0"/>
    </xf>
    <xf numFmtId="0" fontId="22" fillId="0" borderId="55" xfId="6" applyFont="1" applyBorder="1" applyAlignment="1">
      <alignment vertical="center"/>
    </xf>
    <xf numFmtId="2" fontId="23" fillId="7" borderId="25" xfId="6" applyNumberFormat="1" applyFont="1" applyFill="1" applyBorder="1" applyAlignment="1" applyProtection="1">
      <alignment horizontal="center" vertical="center"/>
      <protection locked="0"/>
    </xf>
    <xf numFmtId="2" fontId="23" fillId="7" borderId="77" xfId="6" applyNumberFormat="1" applyFont="1" applyFill="1" applyBorder="1" applyAlignment="1" applyProtection="1">
      <alignment horizontal="center" vertical="center"/>
      <protection locked="0"/>
    </xf>
    <xf numFmtId="0" fontId="22" fillId="0" borderId="27" xfId="6" applyFont="1" applyBorder="1" applyAlignment="1">
      <alignment vertical="center"/>
    </xf>
    <xf numFmtId="2" fontId="22" fillId="0" borderId="36" xfId="6" applyNumberFormat="1" applyFont="1" applyBorder="1" applyAlignment="1">
      <alignment horizontal="center" vertical="center"/>
    </xf>
    <xf numFmtId="0" fontId="39" fillId="0" borderId="0" xfId="4" quotePrefix="1" applyFont="1" applyAlignment="1">
      <alignment vertical="center"/>
    </xf>
    <xf numFmtId="0" fontId="40" fillId="0" borderId="2" xfId="6" applyFont="1" applyBorder="1" applyAlignment="1">
      <alignment vertical="center"/>
    </xf>
    <xf numFmtId="10" fontId="40" fillId="0" borderId="3" xfId="6" applyNumberFormat="1" applyFont="1" applyBorder="1" applyAlignment="1">
      <alignment horizontal="centerContinuous" vertical="center"/>
    </xf>
    <xf numFmtId="9" fontId="40" fillId="0" borderId="37" xfId="6" applyNumberFormat="1" applyFont="1" applyBorder="1" applyAlignment="1">
      <alignment horizontal="centerContinuous" vertical="center"/>
    </xf>
    <xf numFmtId="0" fontId="27" fillId="0" borderId="27" xfId="6" applyFont="1" applyBorder="1" applyAlignment="1">
      <alignment horizontal="center" vertical="center"/>
    </xf>
    <xf numFmtId="169" fontId="18" fillId="0" borderId="0" xfId="6" applyNumberFormat="1" applyAlignment="1">
      <alignment vertical="center"/>
    </xf>
    <xf numFmtId="0" fontId="41" fillId="0" borderId="0" xfId="6" applyFont="1" applyAlignment="1">
      <alignment vertical="center"/>
    </xf>
    <xf numFmtId="0" fontId="42" fillId="0" borderId="0" xfId="6" applyFont="1" applyAlignment="1" applyProtection="1">
      <alignment vertical="center"/>
      <protection locked="0"/>
    </xf>
    <xf numFmtId="0" fontId="42" fillId="0" borderId="0" xfId="6" applyFont="1" applyProtection="1">
      <protection locked="0"/>
    </xf>
    <xf numFmtId="0" fontId="23" fillId="0" borderId="0" xfId="6" applyFont="1" applyAlignment="1">
      <alignment vertical="center"/>
    </xf>
    <xf numFmtId="0" fontId="3" fillId="0" borderId="0" xfId="6" applyFont="1" applyAlignment="1">
      <alignment vertical="center"/>
    </xf>
    <xf numFmtId="0" fontId="5" fillId="0" borderId="0" xfId="6" applyFont="1" applyAlignment="1">
      <alignment vertical="center"/>
    </xf>
    <xf numFmtId="0" fontId="43" fillId="0" borderId="0" xfId="6" applyFont="1" applyAlignment="1">
      <alignment horizontal="center" vertical="center"/>
    </xf>
    <xf numFmtId="0" fontId="2" fillId="0" borderId="0" xfId="6" applyFont="1" applyAlignment="1">
      <alignment vertical="center"/>
    </xf>
    <xf numFmtId="164" fontId="44" fillId="7" borderId="27" xfId="3" applyFont="1" applyFill="1" applyBorder="1" applyAlignment="1" applyProtection="1">
      <alignment horizontal="right" vertical="center"/>
      <protection locked="0"/>
    </xf>
    <xf numFmtId="2" fontId="24" fillId="0" borderId="0" xfId="6" applyNumberFormat="1" applyFont="1" applyAlignment="1">
      <alignment horizontal="left" vertical="center"/>
    </xf>
    <xf numFmtId="2" fontId="24" fillId="0" borderId="6" xfId="6" applyNumberFormat="1" applyFont="1" applyBorder="1" applyAlignment="1">
      <alignment horizontal="right" vertical="center"/>
    </xf>
    <xf numFmtId="0" fontId="26" fillId="0" borderId="0" xfId="6" applyFont="1" applyAlignment="1">
      <alignment vertical="center"/>
    </xf>
    <xf numFmtId="0" fontId="20" fillId="0" borderId="0" xfId="6" applyFont="1" applyAlignment="1">
      <alignment vertical="center"/>
    </xf>
    <xf numFmtId="0" fontId="5" fillId="0" borderId="27" xfId="6" applyFont="1" applyBorder="1" applyAlignment="1">
      <alignment horizontal="center" vertical="center"/>
    </xf>
    <xf numFmtId="0" fontId="5" fillId="0" borderId="36" xfId="6" applyFont="1" applyBorder="1" applyAlignment="1">
      <alignment horizontal="center" vertical="center"/>
    </xf>
    <xf numFmtId="0" fontId="5" fillId="0" borderId="5" xfId="6" applyFont="1" applyBorder="1" applyAlignment="1">
      <alignment horizontal="center" vertical="center"/>
    </xf>
    <xf numFmtId="0" fontId="5" fillId="0" borderId="28" xfId="6" applyFont="1" applyBorder="1" applyAlignment="1">
      <alignment horizontal="center" vertical="center"/>
    </xf>
    <xf numFmtId="0" fontId="4" fillId="0" borderId="31" xfId="6" applyFont="1" applyBorder="1" applyAlignment="1">
      <alignment vertical="center" wrapText="1"/>
    </xf>
    <xf numFmtId="10" fontId="4" fillId="0" borderId="45" xfId="6" applyNumberFormat="1" applyFont="1" applyBorder="1" applyAlignment="1">
      <alignment horizontal="center" vertical="center"/>
    </xf>
    <xf numFmtId="10" fontId="4" fillId="0" borderId="29" xfId="6" applyNumberFormat="1" applyFont="1" applyBorder="1" applyAlignment="1">
      <alignment horizontal="center" vertical="center"/>
    </xf>
    <xf numFmtId="10" fontId="4" fillId="0" borderId="46" xfId="6" applyNumberFormat="1" applyFont="1" applyBorder="1" applyAlignment="1">
      <alignment horizontal="center" vertical="center"/>
    </xf>
    <xf numFmtId="0" fontId="4" fillId="0" borderId="44" xfId="6" applyFont="1" applyBorder="1" applyAlignment="1">
      <alignment vertical="center" wrapText="1"/>
    </xf>
    <xf numFmtId="10" fontId="4" fillId="0" borderId="43" xfId="6" applyNumberFormat="1" applyFont="1" applyBorder="1" applyAlignment="1">
      <alignment horizontal="center" vertical="center"/>
    </xf>
    <xf numFmtId="10" fontId="4" fillId="0" borderId="6" xfId="6" applyNumberFormat="1" applyFont="1" applyBorder="1" applyAlignment="1">
      <alignment horizontal="center" vertical="center"/>
    </xf>
    <xf numFmtId="10" fontId="4" fillId="0" borderId="32" xfId="6" applyNumberFormat="1" applyFont="1" applyBorder="1" applyAlignment="1">
      <alignment horizontal="center" vertical="center"/>
    </xf>
    <xf numFmtId="0" fontId="4" fillId="0" borderId="8" xfId="6" applyFont="1" applyBorder="1" applyAlignment="1">
      <alignment vertical="center" wrapText="1"/>
    </xf>
    <xf numFmtId="10" fontId="4" fillId="0" borderId="83" xfId="6" applyNumberFormat="1" applyFont="1" applyBorder="1" applyAlignment="1">
      <alignment horizontal="center" vertical="center"/>
    </xf>
    <xf numFmtId="10" fontId="4" fillId="0" borderId="23" xfId="6" applyNumberFormat="1" applyFont="1" applyBorder="1" applyAlignment="1">
      <alignment horizontal="center" vertical="center"/>
    </xf>
    <xf numFmtId="10" fontId="4" fillId="0" borderId="84" xfId="6" applyNumberFormat="1" applyFont="1" applyBorder="1" applyAlignment="1">
      <alignment horizontal="center" vertical="center"/>
    </xf>
    <xf numFmtId="0" fontId="20" fillId="0" borderId="0" xfId="6" applyFont="1" applyAlignment="1">
      <alignment vertical="center" wrapText="1"/>
    </xf>
    <xf numFmtId="10" fontId="4" fillId="0" borderId="86" xfId="6" applyNumberFormat="1" applyFont="1" applyBorder="1" applyAlignment="1">
      <alignment horizontal="center" vertical="center"/>
    </xf>
    <xf numFmtId="10" fontId="4" fillId="0" borderId="22" xfId="6" applyNumberFormat="1" applyFont="1" applyBorder="1" applyAlignment="1">
      <alignment horizontal="center" vertical="center"/>
    </xf>
    <xf numFmtId="10" fontId="4" fillId="0" borderId="50" xfId="6" applyNumberFormat="1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86" xfId="6" applyFont="1" applyBorder="1" applyAlignment="1">
      <alignment horizontal="center" vertical="center"/>
    </xf>
    <xf numFmtId="0" fontId="5" fillId="0" borderId="22" xfId="6" applyFont="1" applyBorder="1" applyAlignment="1">
      <alignment horizontal="center" vertical="center"/>
    </xf>
    <xf numFmtId="0" fontId="5" fillId="0" borderId="50" xfId="6" applyFont="1" applyBorder="1" applyAlignment="1">
      <alignment horizontal="center" vertical="center"/>
    </xf>
    <xf numFmtId="10" fontId="20" fillId="0" borderId="0" xfId="6" applyNumberFormat="1" applyFont="1" applyAlignment="1">
      <alignment vertical="center"/>
    </xf>
    <xf numFmtId="10" fontId="18" fillId="0" borderId="0" xfId="6" applyNumberFormat="1" applyAlignment="1">
      <alignment vertical="center"/>
    </xf>
    <xf numFmtId="0" fontId="5" fillId="0" borderId="27" xfId="6" applyFont="1" applyBorder="1" applyAlignment="1">
      <alignment vertical="center" wrapText="1"/>
    </xf>
    <xf numFmtId="0" fontId="20" fillId="0" borderId="0" xfId="6" applyFont="1" applyAlignment="1" applyProtection="1">
      <alignment vertical="center"/>
      <protection locked="0"/>
    </xf>
    <xf numFmtId="164" fontId="5" fillId="0" borderId="0" xfId="3" applyFont="1" applyAlignment="1">
      <alignment vertical="center"/>
    </xf>
    <xf numFmtId="2" fontId="45" fillId="0" borderId="6" xfId="6" quotePrefix="1" applyNumberFormat="1" applyFont="1" applyBorder="1" applyAlignment="1">
      <alignment horizontal="right" vertical="center"/>
    </xf>
    <xf numFmtId="0" fontId="4" fillId="3" borderId="19" xfId="13" quotePrefix="1" applyFont="1" applyFill="1" applyBorder="1" applyAlignment="1">
      <alignment horizontal="left" vertical="center" indent="3"/>
    </xf>
    <xf numFmtId="0" fontId="4" fillId="3" borderId="19" xfId="13" quotePrefix="1" applyFont="1" applyFill="1" applyBorder="1" applyAlignment="1">
      <alignment horizontal="left"/>
    </xf>
    <xf numFmtId="0" fontId="4" fillId="3" borderId="10" xfId="13" applyFont="1" applyFill="1" applyBorder="1"/>
    <xf numFmtId="0" fontId="4" fillId="3" borderId="19" xfId="13" applyFont="1" applyFill="1" applyBorder="1"/>
    <xf numFmtId="0" fontId="4" fillId="3" borderId="13" xfId="13" applyFont="1" applyFill="1" applyBorder="1"/>
    <xf numFmtId="0" fontId="4" fillId="0" borderId="0" xfId="13" applyFont="1" applyProtection="1">
      <protection locked="0"/>
    </xf>
    <xf numFmtId="0" fontId="4" fillId="3" borderId="38" xfId="13" applyFont="1" applyFill="1" applyBorder="1" applyAlignment="1">
      <alignment horizontal="center"/>
    </xf>
    <xf numFmtId="0" fontId="4" fillId="3" borderId="118" xfId="13" applyFont="1" applyFill="1" applyBorder="1" applyAlignment="1">
      <alignment horizontal="left"/>
    </xf>
    <xf numFmtId="0" fontId="4" fillId="3" borderId="9" xfId="13" applyFont="1" applyFill="1" applyBorder="1" applyAlignment="1">
      <alignment horizontal="centerContinuous"/>
    </xf>
    <xf numFmtId="0" fontId="5" fillId="3" borderId="6" xfId="13" applyFont="1" applyFill="1" applyBorder="1" applyAlignment="1">
      <alignment horizontal="center"/>
    </xf>
    <xf numFmtId="0" fontId="4" fillId="3" borderId="7" xfId="13" applyFont="1" applyFill="1" applyBorder="1" applyAlignment="1">
      <alignment horizontal="centerContinuous"/>
    </xf>
    <xf numFmtId="0" fontId="4" fillId="3" borderId="61" xfId="13" applyFont="1" applyFill="1" applyBorder="1" applyAlignment="1">
      <alignment horizontal="centerContinuous"/>
    </xf>
    <xf numFmtId="0" fontId="4" fillId="3" borderId="43" xfId="13" applyFont="1" applyFill="1" applyBorder="1" applyAlignment="1">
      <alignment horizontal="centerContinuous"/>
    </xf>
    <xf numFmtId="0" fontId="4" fillId="3" borderId="45" xfId="13" applyFont="1" applyFill="1" applyBorder="1" applyAlignment="1">
      <alignment horizontal="centerContinuous"/>
    </xf>
    <xf numFmtId="0" fontId="4" fillId="3" borderId="119" xfId="13" applyFont="1" applyFill="1" applyBorder="1" applyAlignment="1">
      <alignment horizontal="centerContinuous"/>
    </xf>
    <xf numFmtId="0" fontId="4" fillId="3" borderId="9" xfId="13" applyFont="1" applyFill="1" applyBorder="1" applyAlignment="1">
      <alignment horizontal="center"/>
    </xf>
    <xf numFmtId="0" fontId="4" fillId="3" borderId="120" xfId="13" applyFont="1" applyFill="1" applyBorder="1" applyAlignment="1">
      <alignment horizontal="center"/>
    </xf>
    <xf numFmtId="0" fontId="4" fillId="3" borderId="121" xfId="13" applyFont="1" applyFill="1" applyBorder="1" applyAlignment="1">
      <alignment horizontal="center"/>
    </xf>
    <xf numFmtId="0" fontId="4" fillId="3" borderId="90" xfId="13" applyFont="1" applyFill="1" applyBorder="1" applyAlignment="1">
      <alignment horizontal="center"/>
    </xf>
    <xf numFmtId="0" fontId="4" fillId="3" borderId="92" xfId="13" applyFont="1" applyFill="1" applyBorder="1"/>
    <xf numFmtId="0" fontId="4" fillId="3" borderId="122" xfId="13" applyFont="1" applyFill="1" applyBorder="1"/>
    <xf numFmtId="0" fontId="4" fillId="3" borderId="93" xfId="13" applyFont="1" applyFill="1" applyBorder="1" applyAlignment="1">
      <alignment horizontal="center"/>
    </xf>
    <xf numFmtId="0" fontId="4" fillId="3" borderId="123" xfId="13" applyFont="1" applyFill="1" applyBorder="1" applyAlignment="1">
      <alignment horizontal="center"/>
    </xf>
    <xf numFmtId="0" fontId="4" fillId="3" borderId="122" xfId="13" applyFont="1" applyFill="1" applyBorder="1" applyAlignment="1">
      <alignment horizontal="center"/>
    </xf>
    <xf numFmtId="0" fontId="4" fillId="3" borderId="124" xfId="13" applyFont="1" applyFill="1" applyBorder="1" applyAlignment="1">
      <alignment horizontal="center"/>
    </xf>
    <xf numFmtId="0" fontId="4" fillId="3" borderId="125" xfId="13" applyFont="1" applyFill="1" applyBorder="1" applyAlignment="1">
      <alignment horizontal="center"/>
    </xf>
    <xf numFmtId="0" fontId="5" fillId="3" borderId="92" xfId="13" applyFont="1" applyFill="1" applyBorder="1" applyAlignment="1">
      <alignment textRotation="180"/>
    </xf>
    <xf numFmtId="170" fontId="4" fillId="3" borderId="93" xfId="13" applyNumberFormat="1" applyFont="1" applyFill="1" applyBorder="1" applyAlignment="1">
      <alignment horizontal="center"/>
    </xf>
    <xf numFmtId="170" fontId="4" fillId="3" borderId="123" xfId="13" applyNumberFormat="1" applyFont="1" applyFill="1" applyBorder="1" applyAlignment="1">
      <alignment horizontal="center"/>
    </xf>
    <xf numFmtId="170" fontId="4" fillId="3" borderId="122" xfId="13" applyNumberFormat="1" applyFont="1" applyFill="1" applyBorder="1" applyAlignment="1">
      <alignment horizontal="center"/>
    </xf>
    <xf numFmtId="49" fontId="3" fillId="3" borderId="94" xfId="13" applyNumberFormat="1" applyFont="1" applyFill="1" applyBorder="1" applyAlignment="1">
      <alignment horizontal="center"/>
    </xf>
    <xf numFmtId="49" fontId="3" fillId="3" borderId="126" xfId="13" applyNumberFormat="1" applyFont="1" applyFill="1" applyBorder="1" applyAlignment="1">
      <alignment horizontal="left"/>
    </xf>
    <xf numFmtId="49" fontId="3" fillId="3" borderId="45" xfId="13" applyNumberFormat="1" applyFont="1" applyFill="1" applyBorder="1" applyAlignment="1">
      <alignment horizontal="left"/>
    </xf>
    <xf numFmtId="0" fontId="46" fillId="3" borderId="6" xfId="13" applyFont="1" applyFill="1" applyBorder="1"/>
    <xf numFmtId="0" fontId="3" fillId="3" borderId="45" xfId="13" applyFont="1" applyFill="1" applyBorder="1" applyAlignment="1">
      <alignment horizontal="center"/>
    </xf>
    <xf numFmtId="0" fontId="3" fillId="3" borderId="127" xfId="13" applyFont="1" applyFill="1" applyBorder="1" applyAlignment="1">
      <alignment horizontal="center"/>
    </xf>
    <xf numFmtId="0" fontId="3" fillId="3" borderId="67" xfId="13" applyFont="1" applyFill="1" applyBorder="1" applyAlignment="1">
      <alignment horizontal="center"/>
    </xf>
    <xf numFmtId="40" fontId="2" fillId="13" borderId="128" xfId="13" applyNumberFormat="1" applyFont="1" applyFill="1" applyBorder="1" applyAlignment="1">
      <alignment horizontal="right"/>
    </xf>
    <xf numFmtId="2" fontId="3" fillId="3" borderId="46" xfId="13" applyNumberFormat="1" applyFont="1" applyFill="1" applyBorder="1"/>
    <xf numFmtId="0" fontId="4" fillId="0" borderId="0" xfId="13" applyFont="1"/>
    <xf numFmtId="49" fontId="3" fillId="3" borderId="35" xfId="13" applyNumberFormat="1" applyFont="1" applyFill="1" applyBorder="1" applyAlignment="1">
      <alignment horizontal="center"/>
    </xf>
    <xf numFmtId="0" fontId="4" fillId="3" borderId="129" xfId="13" applyFont="1" applyFill="1" applyBorder="1"/>
    <xf numFmtId="0" fontId="4" fillId="3" borderId="130" xfId="13" applyFont="1" applyFill="1" applyBorder="1"/>
    <xf numFmtId="0" fontId="4" fillId="3" borderId="132" xfId="13" applyFont="1" applyFill="1" applyBorder="1"/>
    <xf numFmtId="0" fontId="4" fillId="3" borderId="133" xfId="13" applyFont="1" applyFill="1" applyBorder="1" applyAlignment="1">
      <alignment horizontal="centerContinuous"/>
    </xf>
    <xf numFmtId="0" fontId="4" fillId="3" borderId="94" xfId="13" applyFont="1" applyFill="1" applyBorder="1" applyAlignment="1">
      <alignment horizontal="center"/>
    </xf>
    <xf numFmtId="0" fontId="4" fillId="3" borderId="137" xfId="13" applyFont="1" applyFill="1" applyBorder="1" applyAlignment="1">
      <alignment horizontal="center"/>
    </xf>
    <xf numFmtId="0" fontId="4" fillId="3" borderId="138" xfId="13" applyFont="1" applyFill="1" applyBorder="1" applyAlignment="1">
      <alignment horizontal="center"/>
    </xf>
    <xf numFmtId="0" fontId="4" fillId="3" borderId="67" xfId="13" applyFont="1" applyFill="1" applyBorder="1" applyAlignment="1">
      <alignment horizontal="center"/>
    </xf>
    <xf numFmtId="40" fontId="4" fillId="0" borderId="0" xfId="13" applyNumberFormat="1" applyFont="1" applyProtection="1">
      <protection locked="0"/>
    </xf>
    <xf numFmtId="0" fontId="4" fillId="3" borderId="143" xfId="13" applyFont="1" applyFill="1" applyBorder="1" applyAlignment="1">
      <alignment horizontal="centerContinuous"/>
    </xf>
    <xf numFmtId="0" fontId="4" fillId="3" borderId="143" xfId="13" applyFont="1" applyFill="1" applyBorder="1"/>
    <xf numFmtId="0" fontId="4" fillId="3" borderId="148" xfId="13" applyFont="1" applyFill="1" applyBorder="1" applyAlignment="1">
      <alignment horizontal="centerContinuous"/>
    </xf>
    <xf numFmtId="0" fontId="4" fillId="3" borderId="148" xfId="13" applyFont="1" applyFill="1" applyBorder="1"/>
    <xf numFmtId="0" fontId="4" fillId="3" borderId="137" xfId="13" applyFont="1" applyFill="1" applyBorder="1" applyAlignment="1">
      <alignment horizontal="centerContinuous"/>
    </xf>
    <xf numFmtId="0" fontId="4" fillId="3" borderId="137" xfId="13" applyFont="1" applyFill="1" applyBorder="1"/>
    <xf numFmtId="0" fontId="4" fillId="13" borderId="10" xfId="13" applyFont="1" applyFill="1" applyBorder="1" applyProtection="1">
      <protection locked="0"/>
    </xf>
    <xf numFmtId="0" fontId="4" fillId="13" borderId="13" xfId="13" applyFont="1" applyFill="1" applyBorder="1" applyProtection="1">
      <protection locked="0"/>
    </xf>
    <xf numFmtId="0" fontId="4" fillId="13" borderId="16" xfId="13" applyFont="1" applyFill="1" applyBorder="1" applyAlignment="1" applyProtection="1">
      <alignment horizontal="centerContinuous" vertical="center" wrapText="1"/>
      <protection locked="0"/>
    </xf>
    <xf numFmtId="0" fontId="4" fillId="13" borderId="11" xfId="13" applyFont="1" applyFill="1" applyBorder="1" applyProtection="1">
      <protection locked="0"/>
    </xf>
    <xf numFmtId="0" fontId="4" fillId="13" borderId="156" xfId="13" applyFont="1" applyFill="1" applyBorder="1" applyProtection="1">
      <protection locked="0"/>
    </xf>
    <xf numFmtId="0" fontId="4" fillId="13" borderId="11" xfId="13" applyFont="1" applyFill="1" applyBorder="1" applyAlignment="1" applyProtection="1">
      <alignment horizontal="centerContinuous" vertical="center" wrapText="1"/>
      <protection locked="0"/>
    </xf>
    <xf numFmtId="0" fontId="4" fillId="13" borderId="11" xfId="13" applyFont="1" applyFill="1" applyBorder="1" applyAlignment="1" applyProtection="1">
      <alignment horizontal="left" vertical="center"/>
      <protection locked="0"/>
    </xf>
    <xf numFmtId="0" fontId="4" fillId="13" borderId="17" xfId="13" applyFont="1" applyFill="1" applyBorder="1" applyAlignment="1" applyProtection="1">
      <alignment horizontal="centerContinuous" vertical="center"/>
      <protection locked="0"/>
    </xf>
    <xf numFmtId="0" fontId="4" fillId="3" borderId="16" xfId="13" applyFont="1" applyFill="1" applyBorder="1" applyAlignment="1">
      <alignment horizontal="centerContinuous" vertical="center"/>
    </xf>
    <xf numFmtId="14" fontId="4" fillId="3" borderId="11" xfId="13" applyNumberFormat="1" applyFont="1" applyFill="1" applyBorder="1" applyAlignment="1">
      <alignment horizontal="center" vertical="center"/>
    </xf>
    <xf numFmtId="0" fontId="4" fillId="3" borderId="11" xfId="13" applyFont="1" applyFill="1" applyBorder="1" applyAlignment="1">
      <alignment horizontal="centerContinuous"/>
    </xf>
    <xf numFmtId="0" fontId="4" fillId="0" borderId="156" xfId="13" applyFont="1" applyBorder="1"/>
    <xf numFmtId="0" fontId="4" fillId="3" borderId="11" xfId="13" applyFont="1" applyFill="1" applyBorder="1" applyAlignment="1">
      <alignment horizontal="centerContinuous" vertical="center" wrapText="1"/>
    </xf>
    <xf numFmtId="0" fontId="4" fillId="3" borderId="11" xfId="13" applyFont="1" applyFill="1" applyBorder="1" applyAlignment="1">
      <alignment vertical="center"/>
    </xf>
    <xf numFmtId="17" fontId="4" fillId="3" borderId="17" xfId="13" applyNumberFormat="1" applyFont="1" applyFill="1" applyBorder="1" applyAlignment="1">
      <alignment horizontal="center" vertical="center"/>
    </xf>
    <xf numFmtId="17" fontId="4" fillId="13" borderId="11" xfId="13" applyNumberFormat="1" applyFont="1" applyFill="1" applyBorder="1" applyAlignment="1" applyProtection="1">
      <alignment horizontal="center" vertical="center"/>
      <protection locked="0"/>
    </xf>
    <xf numFmtId="17" fontId="4" fillId="13" borderId="17" xfId="13" applyNumberFormat="1" applyFont="1" applyFill="1" applyBorder="1" applyAlignment="1" applyProtection="1">
      <alignment horizontal="center" vertical="center"/>
      <protection locked="0"/>
    </xf>
    <xf numFmtId="0" fontId="4" fillId="0" borderId="44" xfId="1" applyFill="1" applyBorder="1" applyAlignment="1">
      <alignment vertical="center"/>
    </xf>
    <xf numFmtId="2" fontId="4" fillId="0" borderId="43" xfId="1" applyNumberFormat="1" applyFill="1" applyBorder="1" applyAlignment="1">
      <alignment horizontal="center" vertical="center"/>
    </xf>
    <xf numFmtId="167" fontId="4" fillId="0" borderId="32" xfId="1" applyNumberFormat="1" applyFill="1" applyBorder="1" applyAlignment="1">
      <alignment horizontal="center" vertical="center"/>
    </xf>
    <xf numFmtId="2" fontId="4" fillId="0" borderId="30" xfId="1" applyNumberFormat="1" applyFill="1" applyBorder="1" applyAlignment="1">
      <alignment horizontal="center" vertical="center"/>
    </xf>
    <xf numFmtId="2" fontId="5" fillId="0" borderId="6" xfId="1" applyNumberFormat="1" applyFont="1" applyFill="1" applyBorder="1" applyAlignment="1">
      <alignment horizontal="center" vertical="center"/>
    </xf>
    <xf numFmtId="2" fontId="4" fillId="0" borderId="32" xfId="1" applyNumberFormat="1" applyFill="1" applyBorder="1" applyAlignment="1">
      <alignment horizontal="center" vertical="center"/>
    </xf>
    <xf numFmtId="2" fontId="4" fillId="0" borderId="35" xfId="1" applyNumberFormat="1" applyFill="1" applyBorder="1" applyAlignment="1">
      <alignment horizontal="center" vertical="center"/>
    </xf>
    <xf numFmtId="0" fontId="4" fillId="0" borderId="30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53" xfId="1" applyFill="1" applyBorder="1" applyAlignment="1">
      <alignment vertical="center" wrapText="1"/>
    </xf>
    <xf numFmtId="2" fontId="7" fillId="15" borderId="0" xfId="0" applyNumberFormat="1" applyFont="1" applyFill="1" applyAlignment="1">
      <alignment horizontal="center"/>
    </xf>
    <xf numFmtId="0" fontId="7" fillId="15" borderId="0" xfId="0" applyFont="1" applyFill="1"/>
    <xf numFmtId="4" fontId="4" fillId="0" borderId="29" xfId="0" applyNumberFormat="1" applyFont="1" applyFill="1" applyBorder="1" applyAlignment="1" applyProtection="1">
      <alignment vertical="center"/>
      <protection locked="0"/>
    </xf>
    <xf numFmtId="4" fontId="5" fillId="0" borderId="61" xfId="1" applyNumberFormat="1" applyFont="1" applyFill="1" applyBorder="1" applyAlignment="1">
      <alignment vertical="center"/>
    </xf>
    <xf numFmtId="2" fontId="5" fillId="0" borderId="6" xfId="1" applyNumberFormat="1" applyFont="1" applyFill="1" applyBorder="1" applyAlignment="1">
      <alignment horizontal="right" vertical="center"/>
    </xf>
    <xf numFmtId="2" fontId="5" fillId="0" borderId="29" xfId="1" applyNumberFormat="1" applyFont="1" applyFill="1" applyBorder="1" applyAlignment="1">
      <alignment horizontal="right" vertical="center"/>
    </xf>
    <xf numFmtId="2" fontId="5" fillId="0" borderId="1" xfId="1" applyNumberFormat="1" applyFont="1" applyFill="1" applyBorder="1" applyAlignment="1">
      <alignment horizontal="right" vertical="center"/>
    </xf>
    <xf numFmtId="4" fontId="5" fillId="0" borderId="26" xfId="1" applyNumberFormat="1" applyFont="1" applyFill="1" applyBorder="1" applyAlignment="1">
      <alignment vertical="center"/>
    </xf>
    <xf numFmtId="0" fontId="4" fillId="0" borderId="54" xfId="1" applyFill="1" applyBorder="1" applyAlignment="1">
      <alignment vertical="center" wrapText="1"/>
    </xf>
    <xf numFmtId="2" fontId="5" fillId="0" borderId="80" xfId="1" applyNumberFormat="1" applyFont="1" applyFill="1" applyBorder="1" applyAlignment="1">
      <alignment horizontal="center" vertical="center"/>
    </xf>
    <xf numFmtId="49" fontId="5" fillId="0" borderId="16" xfId="0" applyNumberFormat="1" applyFont="1" applyFill="1" applyBorder="1" applyAlignment="1">
      <alignment horizontal="center" vertical="center"/>
    </xf>
    <xf numFmtId="0" fontId="4" fillId="0" borderId="35" xfId="0" applyFont="1" applyFill="1" applyBorder="1" applyAlignment="1">
      <alignment horizontal="center" vertical="center"/>
    </xf>
    <xf numFmtId="0" fontId="15" fillId="0" borderId="30" xfId="0" quotePrefix="1" applyFont="1" applyFill="1" applyBorder="1" applyAlignment="1">
      <alignment horizontal="center" vertical="center"/>
    </xf>
    <xf numFmtId="49" fontId="15" fillId="0" borderId="30" xfId="0" quotePrefix="1" applyNumberFormat="1" applyFont="1" applyFill="1" applyBorder="1" applyAlignment="1" applyProtection="1">
      <alignment horizontal="center" vertical="center"/>
      <protection locked="0"/>
    </xf>
    <xf numFmtId="49" fontId="15" fillId="0" borderId="25" xfId="0" quotePrefix="1" applyNumberFormat="1" applyFont="1" applyFill="1" applyBorder="1" applyAlignment="1" applyProtection="1">
      <alignment horizontal="center" vertical="center"/>
      <protection locked="0"/>
    </xf>
    <xf numFmtId="49" fontId="5" fillId="0" borderId="2" xfId="0" applyNumberFormat="1" applyFont="1" applyFill="1" applyBorder="1" applyAlignment="1">
      <alignment horizontal="center" vertical="center"/>
    </xf>
    <xf numFmtId="0" fontId="4" fillId="0" borderId="30" xfId="2" applyFont="1" applyFill="1" applyBorder="1" applyAlignment="1">
      <alignment horizontal="center" vertical="center"/>
    </xf>
    <xf numFmtId="0" fontId="4" fillId="0" borderId="38" xfId="2" applyFont="1" applyFill="1" applyBorder="1" applyAlignment="1">
      <alignment horizontal="center" vertical="center"/>
    </xf>
    <xf numFmtId="0" fontId="4" fillId="0" borderId="79" xfId="2" applyFont="1" applyFill="1" applyBorder="1" applyAlignment="1">
      <alignment horizontal="center" vertical="center"/>
    </xf>
    <xf numFmtId="0" fontId="4" fillId="0" borderId="25" xfId="2" applyFont="1" applyFill="1" applyBorder="1" applyAlignment="1">
      <alignment horizontal="center" vertical="center"/>
    </xf>
    <xf numFmtId="0" fontId="4" fillId="0" borderId="79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/>
    </xf>
    <xf numFmtId="0" fontId="4" fillId="0" borderId="85" xfId="0" applyFont="1" applyFill="1" applyBorder="1" applyAlignment="1">
      <alignment horizontal="center" vertical="center"/>
    </xf>
    <xf numFmtId="0" fontId="4" fillId="0" borderId="30" xfId="0" quotePrefix="1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2" borderId="30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2" fontId="4" fillId="0" borderId="43" xfId="1" quotePrefix="1" applyNumberFormat="1" applyFill="1" applyBorder="1" applyAlignment="1">
      <alignment horizontal="center" vertical="center"/>
    </xf>
    <xf numFmtId="2" fontId="5" fillId="0" borderId="29" xfId="1" applyNumberFormat="1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21" xfId="1" applyFill="1" applyBorder="1" applyAlignment="1">
      <alignment vertical="center" wrapText="1"/>
    </xf>
    <xf numFmtId="0" fontId="4" fillId="0" borderId="77" xfId="1" applyFill="1" applyBorder="1" applyAlignment="1">
      <alignment horizontal="left" vertical="center" wrapText="1"/>
    </xf>
    <xf numFmtId="0" fontId="4" fillId="0" borderId="54" xfId="1" applyFill="1" applyBorder="1" applyAlignment="1">
      <alignment horizontal="left" vertical="center" wrapText="1"/>
    </xf>
    <xf numFmtId="0" fontId="4" fillId="0" borderId="53" xfId="1" applyFill="1" applyBorder="1" applyAlignment="1">
      <alignment horizontal="left" vertical="center" wrapText="1"/>
    </xf>
    <xf numFmtId="0" fontId="4" fillId="0" borderId="32" xfId="1" applyFill="1" applyBorder="1" applyAlignment="1">
      <alignment horizontal="left" vertical="center" wrapText="1"/>
    </xf>
    <xf numFmtId="0" fontId="4" fillId="0" borderId="82" xfId="1" applyFill="1" applyBorder="1" applyAlignment="1">
      <alignment horizontal="left" vertical="center" wrapText="1"/>
    </xf>
    <xf numFmtId="0" fontId="4" fillId="0" borderId="46" xfId="1" applyFill="1" applyBorder="1" applyAlignment="1">
      <alignment horizontal="left" vertical="center" wrapText="1"/>
    </xf>
    <xf numFmtId="0" fontId="4" fillId="0" borderId="77" xfId="1" applyFill="1" applyBorder="1" applyAlignment="1">
      <alignment vertical="center" wrapText="1"/>
    </xf>
    <xf numFmtId="0" fontId="47" fillId="0" borderId="79" xfId="2" applyFont="1" applyFill="1" applyBorder="1" applyAlignment="1">
      <alignment horizontal="center" vertical="center"/>
    </xf>
    <xf numFmtId="0" fontId="47" fillId="0" borderId="25" xfId="2" applyFont="1" applyFill="1" applyBorder="1" applyAlignment="1">
      <alignment horizontal="center" vertical="center"/>
    </xf>
    <xf numFmtId="0" fontId="4" fillId="0" borderId="6" xfId="2" applyFont="1" applyFill="1" applyBorder="1" applyAlignment="1">
      <alignment horizontal="center" vertical="center"/>
    </xf>
    <xf numFmtId="4" fontId="4" fillId="5" borderId="38" xfId="0" applyNumberFormat="1" applyFont="1" applyFill="1" applyBorder="1" applyAlignment="1" applyProtection="1">
      <alignment vertical="center"/>
      <protection locked="0"/>
    </xf>
    <xf numFmtId="4" fontId="4" fillId="5" borderId="39" xfId="0" applyNumberFormat="1" applyFont="1" applyFill="1" applyBorder="1" applyAlignment="1" applyProtection="1">
      <alignment vertical="center"/>
      <protection locked="0"/>
    </xf>
    <xf numFmtId="2" fontId="5" fillId="0" borderId="23" xfId="1" applyNumberFormat="1" applyFont="1" applyFill="1" applyBorder="1" applyAlignment="1">
      <alignment horizontal="center" vertical="center"/>
    </xf>
    <xf numFmtId="2" fontId="5" fillId="0" borderId="2" xfId="1" applyNumberFormat="1" applyFont="1" applyFill="1" applyBorder="1" applyAlignment="1">
      <alignment horizontal="center" vertical="center"/>
    </xf>
    <xf numFmtId="167" fontId="5" fillId="0" borderId="28" xfId="1" applyNumberFormat="1" applyFont="1" applyFill="1" applyBorder="1" applyAlignment="1">
      <alignment horizontal="center" vertical="center"/>
    </xf>
    <xf numFmtId="2" fontId="5" fillId="0" borderId="36" xfId="1" applyNumberFormat="1" applyFont="1" applyFill="1" applyBorder="1" applyAlignment="1">
      <alignment horizontal="center" vertical="center"/>
    </xf>
    <xf numFmtId="2" fontId="5" fillId="0" borderId="5" xfId="1" applyNumberFormat="1" applyFont="1" applyFill="1" applyBorder="1" applyAlignment="1">
      <alignment horizontal="center" vertical="center"/>
    </xf>
    <xf numFmtId="2" fontId="5" fillId="0" borderId="41" xfId="1" applyNumberFormat="1" applyFont="1" applyFill="1" applyBorder="1" applyAlignment="1">
      <alignment horizontal="center" vertical="center"/>
    </xf>
    <xf numFmtId="2" fontId="4" fillId="0" borderId="50" xfId="1" applyNumberFormat="1" applyFill="1" applyBorder="1" applyAlignment="1">
      <alignment horizontal="center" vertical="center"/>
    </xf>
    <xf numFmtId="4" fontId="13" fillId="0" borderId="3" xfId="0" applyNumberFormat="1" applyFont="1" applyFill="1" applyBorder="1" applyAlignment="1">
      <alignment vertical="center"/>
    </xf>
    <xf numFmtId="4" fontId="14" fillId="0" borderId="37" xfId="0" applyNumberFormat="1" applyFont="1" applyFill="1" applyBorder="1" applyAlignment="1">
      <alignment vertical="center"/>
    </xf>
    <xf numFmtId="4" fontId="5" fillId="0" borderId="3" xfId="1" applyNumberFormat="1" applyFont="1" applyFill="1" applyBorder="1" applyAlignment="1">
      <alignment vertical="center"/>
    </xf>
    <xf numFmtId="2" fontId="4" fillId="0" borderId="45" xfId="1" quotePrefix="1" applyNumberFormat="1" applyFill="1" applyBorder="1" applyAlignment="1">
      <alignment horizontal="center" vertical="center"/>
    </xf>
    <xf numFmtId="167" fontId="4" fillId="0" borderId="46" xfId="1" quotePrefix="1" applyNumberFormat="1" applyFill="1" applyBorder="1" applyAlignment="1">
      <alignment horizontal="center" vertical="center"/>
    </xf>
    <xf numFmtId="2" fontId="4" fillId="0" borderId="35" xfId="1" quotePrefix="1" applyNumberFormat="1" applyFill="1" applyBorder="1" applyAlignment="1">
      <alignment horizontal="center" vertical="center"/>
    </xf>
    <xf numFmtId="2" fontId="4" fillId="0" borderId="29" xfId="1" applyNumberFormat="1" applyFill="1" applyBorder="1" applyAlignment="1">
      <alignment horizontal="center" vertical="center"/>
    </xf>
    <xf numFmtId="2" fontId="4" fillId="0" borderId="46" xfId="1" applyNumberFormat="1" applyFill="1" applyBorder="1" applyAlignment="1">
      <alignment horizontal="center" vertical="center"/>
    </xf>
    <xf numFmtId="167" fontId="4" fillId="0" borderId="32" xfId="1" quotePrefix="1" applyNumberFormat="1" applyFill="1" applyBorder="1" applyAlignment="1">
      <alignment horizontal="center" vertical="center"/>
    </xf>
    <xf numFmtId="2" fontId="4" fillId="0" borderId="30" xfId="1" quotePrefix="1" applyNumberFormat="1" applyFill="1" applyBorder="1" applyAlignment="1">
      <alignment horizontal="center" vertical="center"/>
    </xf>
    <xf numFmtId="2" fontId="4" fillId="0" borderId="6" xfId="1" applyNumberFormat="1" applyFill="1" applyBorder="1" applyAlignment="1">
      <alignment horizontal="center" vertical="center"/>
    </xf>
    <xf numFmtId="4" fontId="5" fillId="0" borderId="65" xfId="1" applyNumberFormat="1" applyFont="1" applyFill="1" applyBorder="1" applyAlignment="1">
      <alignment vertical="center"/>
    </xf>
    <xf numFmtId="49" fontId="5" fillId="0" borderId="5" xfId="0" applyNumberFormat="1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vertical="center" wrapText="1"/>
    </xf>
    <xf numFmtId="0" fontId="13" fillId="0" borderId="27" xfId="0" applyFont="1" applyFill="1" applyBorder="1" applyAlignment="1">
      <alignment horizontal="center" vertical="center"/>
    </xf>
    <xf numFmtId="0" fontId="4" fillId="0" borderId="51" xfId="1" quotePrefix="1" applyFill="1" applyBorder="1" applyAlignment="1">
      <alignment horizontal="left" vertical="center" wrapText="1"/>
    </xf>
    <xf numFmtId="0" fontId="4" fillId="0" borderId="31" xfId="1" quotePrefix="1" applyFill="1" applyBorder="1" applyAlignment="1">
      <alignment horizontal="left" vertical="center"/>
    </xf>
    <xf numFmtId="0" fontId="4" fillId="0" borderId="53" xfId="1" quotePrefix="1" applyFill="1" applyBorder="1" applyAlignment="1">
      <alignment horizontal="left" vertical="center" wrapText="1"/>
    </xf>
    <xf numFmtId="0" fontId="4" fillId="0" borderId="44" xfId="1" quotePrefix="1" applyFill="1" applyBorder="1" applyAlignment="1">
      <alignment horizontal="left" vertical="center"/>
    </xf>
    <xf numFmtId="49" fontId="5" fillId="0" borderId="36" xfId="0" applyNumberFormat="1" applyFont="1" applyFill="1" applyBorder="1" applyAlignment="1">
      <alignment horizontal="center" vertical="center"/>
    </xf>
    <xf numFmtId="0" fontId="8" fillId="0" borderId="37" xfId="0" applyFont="1" applyFill="1" applyBorder="1" applyAlignment="1">
      <alignment vertical="center" wrapText="1"/>
    </xf>
    <xf numFmtId="2" fontId="4" fillId="0" borderId="6" xfId="1" quotePrefix="1" applyNumberForma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53" xfId="1" applyFont="1" applyFill="1" applyBorder="1" applyAlignment="1">
      <alignment vertical="center" wrapText="1"/>
    </xf>
    <xf numFmtId="0" fontId="5" fillId="0" borderId="44" xfId="1" applyFont="1" applyFill="1" applyBorder="1" applyAlignment="1">
      <alignment vertical="center"/>
    </xf>
    <xf numFmtId="4" fontId="13" fillId="0" borderId="65" xfId="0" applyNumberFormat="1" applyFont="1" applyFill="1" applyBorder="1" applyAlignment="1">
      <alignment vertical="center"/>
    </xf>
    <xf numFmtId="4" fontId="14" fillId="0" borderId="53" xfId="0" applyNumberFormat="1" applyFont="1" applyFill="1" applyBorder="1" applyAlignment="1">
      <alignment vertical="center"/>
    </xf>
    <xf numFmtId="4" fontId="4" fillId="0" borderId="61" xfId="1" applyNumberFormat="1" applyFill="1" applyBorder="1" applyAlignment="1">
      <alignment vertical="center"/>
    </xf>
    <xf numFmtId="4" fontId="4" fillId="0" borderId="26" xfId="1" applyNumberFormat="1" applyFill="1" applyBorder="1" applyAlignment="1">
      <alignment vertical="center"/>
    </xf>
    <xf numFmtId="0" fontId="4" fillId="0" borderId="39" xfId="2" applyFont="1" applyFill="1" applyBorder="1" applyAlignment="1">
      <alignment horizontal="center" vertical="center"/>
    </xf>
    <xf numFmtId="0" fontId="4" fillId="0" borderId="78" xfId="1" applyFill="1" applyBorder="1" applyAlignment="1">
      <alignment vertical="center"/>
    </xf>
    <xf numFmtId="2" fontId="4" fillId="0" borderId="42" xfId="1" applyNumberFormat="1" applyFill="1" applyBorder="1" applyAlignment="1">
      <alignment horizontal="center" vertical="center"/>
    </xf>
    <xf numFmtId="2" fontId="4" fillId="0" borderId="39" xfId="1" applyNumberFormat="1" applyFill="1" applyBorder="1" applyAlignment="1">
      <alignment horizontal="center" vertical="center"/>
    </xf>
    <xf numFmtId="2" fontId="5" fillId="0" borderId="39" xfId="1" applyNumberFormat="1" applyFont="1" applyFill="1" applyBorder="1" applyAlignment="1">
      <alignment horizontal="center" vertical="center"/>
    </xf>
    <xf numFmtId="2" fontId="4" fillId="0" borderId="40" xfId="1" applyNumberFormat="1" applyFill="1" applyBorder="1" applyAlignment="1">
      <alignment horizontal="center" vertical="center"/>
    </xf>
    <xf numFmtId="0" fontId="4" fillId="0" borderId="80" xfId="2" applyFont="1" applyFill="1" applyBorder="1" applyAlignment="1">
      <alignment horizontal="center" vertical="center"/>
    </xf>
    <xf numFmtId="0" fontId="4" fillId="0" borderId="52" xfId="1" applyFill="1" applyBorder="1" applyAlignment="1">
      <alignment vertical="center"/>
    </xf>
    <xf numFmtId="2" fontId="4" fillId="0" borderId="82" xfId="1" applyNumberFormat="1" applyFill="1" applyBorder="1" applyAlignment="1">
      <alignment horizontal="center" vertical="center"/>
    </xf>
    <xf numFmtId="0" fontId="4" fillId="0" borderId="23" xfId="2" applyFont="1" applyFill="1" applyBorder="1" applyAlignment="1">
      <alignment horizontal="center" vertical="center"/>
    </xf>
    <xf numFmtId="0" fontId="4" fillId="0" borderId="8" xfId="1" applyFill="1" applyBorder="1" applyAlignment="1">
      <alignment vertical="center"/>
    </xf>
    <xf numFmtId="2" fontId="4" fillId="0" borderId="84" xfId="1" applyNumberFormat="1" applyFill="1" applyBorder="1" applyAlignment="1">
      <alignment horizontal="center" vertical="center"/>
    </xf>
    <xf numFmtId="167" fontId="4" fillId="0" borderId="40" xfId="1" applyNumberFormat="1" applyFill="1" applyBorder="1" applyAlignment="1">
      <alignment horizontal="center" vertical="center"/>
    </xf>
    <xf numFmtId="0" fontId="4" fillId="0" borderId="53" xfId="1" applyFill="1" applyBorder="1" applyAlignment="1">
      <alignment horizontal="left" vertical="center" wrapText="1" readingOrder="1"/>
    </xf>
    <xf numFmtId="0" fontId="4" fillId="0" borderId="51" xfId="1" applyFill="1" applyBorder="1" applyAlignment="1">
      <alignment horizontal="left" vertical="center" wrapText="1" readingOrder="1"/>
    </xf>
    <xf numFmtId="0" fontId="4" fillId="0" borderId="31" xfId="1" applyFill="1" applyBorder="1" applyAlignment="1">
      <alignment vertical="center"/>
    </xf>
    <xf numFmtId="2" fontId="4" fillId="0" borderId="45" xfId="1" applyNumberFormat="1" applyFill="1" applyBorder="1" applyAlignment="1">
      <alignment horizontal="center" vertical="center"/>
    </xf>
    <xf numFmtId="0" fontId="4" fillId="0" borderId="17" xfId="1" applyFill="1" applyBorder="1" applyAlignment="1">
      <alignment horizontal="left" vertical="center" wrapText="1" readingOrder="1"/>
    </xf>
    <xf numFmtId="0" fontId="4" fillId="0" borderId="24" xfId="1" applyFill="1" applyBorder="1" applyAlignment="1">
      <alignment vertical="center"/>
    </xf>
    <xf numFmtId="2" fontId="5" fillId="0" borderId="22" xfId="1" applyNumberFormat="1" applyFont="1" applyFill="1" applyBorder="1" applyAlignment="1">
      <alignment horizontal="center" vertical="center"/>
    </xf>
    <xf numFmtId="0" fontId="4" fillId="0" borderId="80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2" fontId="5" fillId="0" borderId="32" xfId="1" applyNumberFormat="1" applyFont="1" applyFill="1" applyBorder="1" applyAlignment="1">
      <alignment horizontal="center" vertical="center"/>
    </xf>
    <xf numFmtId="0" fontId="5" fillId="0" borderId="21" xfId="1" applyFont="1" applyFill="1" applyBorder="1" applyAlignment="1">
      <alignment vertical="center" wrapText="1"/>
    </xf>
    <xf numFmtId="0" fontId="4" fillId="0" borderId="22" xfId="0" applyFont="1" applyFill="1" applyBorder="1" applyAlignment="1">
      <alignment horizontal="center" vertical="center"/>
    </xf>
    <xf numFmtId="0" fontId="6" fillId="0" borderId="21" xfId="1" applyFont="1" applyFill="1" applyBorder="1" applyAlignment="1">
      <alignment vertical="center" wrapText="1"/>
    </xf>
    <xf numFmtId="0" fontId="4" fillId="0" borderId="51" xfId="1" applyFill="1" applyBorder="1" applyAlignment="1">
      <alignment vertical="center" wrapText="1"/>
    </xf>
    <xf numFmtId="0" fontId="5" fillId="0" borderId="31" xfId="1" applyFont="1" applyFill="1" applyBorder="1" applyAlignment="1">
      <alignment vertical="center"/>
    </xf>
    <xf numFmtId="167" fontId="4" fillId="0" borderId="46" xfId="1" applyNumberFormat="1" applyFill="1" applyBorder="1" applyAlignment="1">
      <alignment horizontal="center" vertical="center"/>
    </xf>
    <xf numFmtId="0" fontId="9" fillId="0" borderId="27" xfId="0" applyFont="1" applyFill="1" applyBorder="1" applyAlignment="1">
      <alignment horizontal="center" vertical="center"/>
    </xf>
    <xf numFmtId="49" fontId="17" fillId="0" borderId="3" xfId="0" applyNumberFormat="1" applyFont="1" applyBorder="1" applyAlignment="1">
      <alignment horizontal="centerContinuous" vertical="center"/>
    </xf>
    <xf numFmtId="49" fontId="10" fillId="0" borderId="26" xfId="0" applyNumberFormat="1" applyFont="1" applyBorder="1" applyAlignment="1">
      <alignment horizontal="centerContinuous" vertical="center"/>
    </xf>
    <xf numFmtId="0" fontId="4" fillId="0" borderId="26" xfId="0" applyFont="1" applyBorder="1" applyAlignment="1">
      <alignment horizontal="centerContinuous" vertical="center"/>
    </xf>
    <xf numFmtId="0" fontId="4" fillId="0" borderId="37" xfId="0" applyFont="1" applyBorder="1" applyAlignment="1">
      <alignment horizontal="centerContinuous" vertical="center"/>
    </xf>
    <xf numFmtId="2" fontId="4" fillId="0" borderId="42" xfId="1" applyNumberFormat="1" applyBorder="1" applyAlignment="1">
      <alignment horizontal="center" vertical="center"/>
    </xf>
    <xf numFmtId="167" fontId="4" fillId="0" borderId="40" xfId="1" quotePrefix="1" applyNumberFormat="1" applyBorder="1" applyAlignment="1">
      <alignment horizontal="center" vertical="center"/>
    </xf>
    <xf numFmtId="2" fontId="4" fillId="0" borderId="38" xfId="1" applyNumberFormat="1" applyBorder="1" applyAlignment="1">
      <alignment horizontal="center" vertical="center"/>
    </xf>
    <xf numFmtId="2" fontId="4" fillId="0" borderId="39" xfId="1" applyNumberFormat="1" applyBorder="1" applyAlignment="1">
      <alignment horizontal="center" vertical="center"/>
    </xf>
    <xf numFmtId="2" fontId="4" fillId="0" borderId="80" xfId="1" applyNumberFormat="1" applyBorder="1" applyAlignment="1">
      <alignment horizontal="center" vertical="center"/>
    </xf>
    <xf numFmtId="2" fontId="4" fillId="0" borderId="23" xfId="1" applyNumberFormat="1" applyBorder="1" applyAlignment="1">
      <alignment horizontal="center" vertical="center"/>
    </xf>
    <xf numFmtId="2" fontId="4" fillId="0" borderId="81" xfId="1" applyNumberFormat="1" applyBorder="1" applyAlignment="1">
      <alignment horizontal="center" vertical="center"/>
    </xf>
    <xf numFmtId="167" fontId="4" fillId="0" borderId="82" xfId="1" applyNumberFormat="1" applyBorder="1" applyAlignment="1">
      <alignment horizontal="center" vertical="center"/>
    </xf>
    <xf numFmtId="2" fontId="4" fillId="0" borderId="79" xfId="1" applyNumberFormat="1" applyBorder="1" applyAlignment="1">
      <alignment horizontal="center" vertical="center"/>
    </xf>
    <xf numFmtId="2" fontId="4" fillId="0" borderId="43" xfId="1" applyNumberFormat="1" applyBorder="1" applyAlignment="1">
      <alignment horizontal="center" vertical="center"/>
    </xf>
    <xf numFmtId="0" fontId="4" fillId="0" borderId="32" xfId="1" applyBorder="1" applyAlignment="1">
      <alignment horizontal="center" vertical="center"/>
    </xf>
    <xf numFmtId="2" fontId="4" fillId="0" borderId="35" xfId="1" applyNumberFormat="1" applyBorder="1" applyAlignment="1">
      <alignment horizontal="center" vertical="center"/>
    </xf>
    <xf numFmtId="2" fontId="4" fillId="0" borderId="30" xfId="1" applyNumberFormat="1" applyBorder="1" applyAlignment="1">
      <alignment horizontal="center" vertical="center"/>
    </xf>
    <xf numFmtId="167" fontId="4" fillId="0" borderId="32" xfId="1" applyNumberFormat="1" applyBorder="1" applyAlignment="1">
      <alignment horizontal="center" vertical="center"/>
    </xf>
    <xf numFmtId="2" fontId="4" fillId="0" borderId="83" xfId="1" applyNumberFormat="1" applyBorder="1" applyAlignment="1">
      <alignment horizontal="center" vertical="center"/>
    </xf>
    <xf numFmtId="167" fontId="4" fillId="0" borderId="84" xfId="1" applyNumberFormat="1" applyBorder="1" applyAlignment="1">
      <alignment horizontal="center" vertical="center"/>
    </xf>
    <xf numFmtId="2" fontId="4" fillId="0" borderId="25" xfId="1" applyNumberFormat="1" applyBorder="1" applyAlignment="1">
      <alignment horizontal="center" vertical="center"/>
    </xf>
    <xf numFmtId="2" fontId="4" fillId="0" borderId="29" xfId="1" applyNumberFormat="1" applyBorder="1" applyAlignment="1">
      <alignment horizontal="center" vertical="center"/>
    </xf>
    <xf numFmtId="2" fontId="4" fillId="0" borderId="22" xfId="1" applyNumberFormat="1" applyBorder="1" applyAlignment="1">
      <alignment horizontal="center" vertical="center"/>
    </xf>
    <xf numFmtId="2" fontId="4" fillId="0" borderId="43" xfId="1" quotePrefix="1" applyNumberFormat="1" applyBorder="1" applyAlignment="1">
      <alignment horizontal="center" vertical="center"/>
    </xf>
    <xf numFmtId="2" fontId="4" fillId="0" borderId="86" xfId="1" applyNumberFormat="1" applyBorder="1" applyAlignment="1">
      <alignment horizontal="center" vertical="center"/>
    </xf>
    <xf numFmtId="49" fontId="5" fillId="0" borderId="0" xfId="1" applyNumberFormat="1" applyFont="1" applyBorder="1" applyAlignment="1">
      <alignment vertical="center"/>
    </xf>
    <xf numFmtId="0" fontId="4" fillId="8" borderId="0" xfId="0" applyFont="1" applyFill="1" applyBorder="1" applyAlignment="1">
      <alignment horizontal="center" vertical="center"/>
    </xf>
    <xf numFmtId="0" fontId="11" fillId="7" borderId="0" xfId="1" applyFont="1" applyFill="1" applyBorder="1" applyAlignment="1">
      <alignment vertical="center"/>
    </xf>
    <xf numFmtId="0" fontId="5" fillId="7" borderId="0" xfId="1" applyFont="1" applyFill="1" applyBorder="1" applyAlignment="1">
      <alignment horizontal="centerContinuous" vertical="center"/>
    </xf>
    <xf numFmtId="0" fontId="4" fillId="7" borderId="0" xfId="1" applyFill="1" applyBorder="1" applyAlignment="1">
      <alignment horizontal="centerContinuous" vertical="center"/>
    </xf>
    <xf numFmtId="0" fontId="4" fillId="7" borderId="0" xfId="1" applyFill="1" applyBorder="1" applyAlignment="1">
      <alignment horizontal="left" vertical="center"/>
    </xf>
    <xf numFmtId="49" fontId="15" fillId="9" borderId="0" xfId="0" applyNumberFormat="1" applyFont="1" applyFill="1" applyBorder="1" applyAlignment="1">
      <alignment horizontal="center" vertical="center"/>
    </xf>
    <xf numFmtId="0" fontId="15" fillId="9" borderId="0" xfId="1" applyFont="1" applyFill="1" applyBorder="1" applyAlignment="1">
      <alignment horizontal="center" vertical="center"/>
    </xf>
    <xf numFmtId="0" fontId="15" fillId="9" borderId="0" xfId="1" applyFont="1" applyFill="1" applyBorder="1" applyAlignment="1" applyProtection="1">
      <alignment horizontal="centerContinuous" vertical="center"/>
      <protection locked="0"/>
    </xf>
    <xf numFmtId="0" fontId="4" fillId="7" borderId="0" xfId="1" applyFill="1" applyBorder="1" applyAlignment="1">
      <alignment vertical="center"/>
    </xf>
    <xf numFmtId="0" fontId="5" fillId="7" borderId="0" xfId="1" applyFont="1" applyFill="1" applyBorder="1" applyAlignment="1">
      <alignment vertical="center"/>
    </xf>
    <xf numFmtId="0" fontId="4" fillId="7" borderId="0" xfId="1" applyFill="1" applyBorder="1" applyAlignment="1">
      <alignment horizontal="center" vertical="center"/>
    </xf>
    <xf numFmtId="49" fontId="10" fillId="0" borderId="0" xfId="0" applyNumberFormat="1" applyFont="1" applyBorder="1" applyAlignment="1">
      <alignment vertical="center"/>
    </xf>
    <xf numFmtId="0" fontId="5" fillId="8" borderId="0" xfId="1" applyFont="1" applyFill="1" applyBorder="1" applyAlignment="1">
      <alignment horizontal="right" vertical="center"/>
    </xf>
    <xf numFmtId="0" fontId="5" fillId="8" borderId="0" xfId="1" applyFont="1" applyFill="1" applyBorder="1" applyAlignment="1" applyProtection="1">
      <alignment vertical="center"/>
      <protection locked="0"/>
    </xf>
    <xf numFmtId="49" fontId="4" fillId="0" borderId="0" xfId="0" applyNumberFormat="1" applyFont="1" applyBorder="1" applyAlignment="1">
      <alignment horizontal="center" vertical="center"/>
    </xf>
    <xf numFmtId="0" fontId="4" fillId="0" borderId="26" xfId="0" applyFont="1" applyBorder="1" applyAlignment="1">
      <alignment vertical="center"/>
    </xf>
    <xf numFmtId="0" fontId="4" fillId="0" borderId="26" xfId="1" applyBorder="1" applyAlignment="1">
      <alignment vertical="center"/>
    </xf>
    <xf numFmtId="2" fontId="4" fillId="0" borderId="26" xfId="0" applyNumberFormat="1" applyFont="1" applyBorder="1" applyAlignment="1">
      <alignment vertical="center"/>
    </xf>
    <xf numFmtId="0" fontId="4" fillId="0" borderId="37" xfId="0" applyFont="1" applyBorder="1" applyAlignment="1">
      <alignment vertical="center"/>
    </xf>
    <xf numFmtId="4" fontId="4" fillId="5" borderId="2" xfId="0" applyNumberFormat="1" applyFont="1" applyFill="1" applyBorder="1" applyAlignment="1" applyProtection="1">
      <alignment vertical="center"/>
      <protection locked="0"/>
    </xf>
    <xf numFmtId="4" fontId="4" fillId="5" borderId="5" xfId="0" applyNumberFormat="1" applyFont="1" applyFill="1" applyBorder="1" applyAlignment="1" applyProtection="1">
      <alignment vertical="center"/>
      <protection locked="0"/>
    </xf>
    <xf numFmtId="4" fontId="4" fillId="0" borderId="5" xfId="1" applyNumberFormat="1" applyBorder="1" applyAlignment="1">
      <alignment vertical="center"/>
    </xf>
    <xf numFmtId="4" fontId="4" fillId="0" borderId="28" xfId="1" applyNumberFormat="1" applyBorder="1" applyAlignment="1">
      <alignment vertical="center"/>
    </xf>
    <xf numFmtId="4" fontId="4" fillId="5" borderId="35" xfId="0" applyNumberFormat="1" applyFont="1" applyFill="1" applyBorder="1" applyAlignment="1" applyProtection="1">
      <alignment vertical="center"/>
      <protection locked="0"/>
    </xf>
    <xf numFmtId="4" fontId="4" fillId="0" borderId="46" xfId="1" applyNumberFormat="1" applyBorder="1" applyAlignment="1">
      <alignment vertical="center"/>
    </xf>
    <xf numFmtId="2" fontId="4" fillId="0" borderId="25" xfId="1" quotePrefix="1" applyNumberFormat="1" applyBorder="1" applyAlignment="1">
      <alignment horizontal="center" vertical="center"/>
    </xf>
    <xf numFmtId="167" fontId="4" fillId="0" borderId="0" xfId="0" applyNumberFormat="1" applyFont="1" applyBorder="1" applyAlignment="1">
      <alignment horizontal="center" vertical="center"/>
    </xf>
    <xf numFmtId="4" fontId="4" fillId="11" borderId="85" xfId="0" applyNumberFormat="1" applyFont="1" applyFill="1" applyBorder="1" applyAlignment="1" applyProtection="1">
      <alignment vertical="center"/>
      <protection locked="0"/>
    </xf>
    <xf numFmtId="4" fontId="4" fillId="5" borderId="22" xfId="0" applyNumberFormat="1" applyFont="1" applyFill="1" applyBorder="1" applyAlignment="1" applyProtection="1">
      <alignment vertical="center"/>
      <protection locked="0"/>
    </xf>
    <xf numFmtId="167" fontId="4" fillId="0" borderId="162" xfId="0" applyNumberFormat="1" applyFont="1" applyBorder="1" applyAlignment="1">
      <alignment horizontal="center" vertical="center"/>
    </xf>
    <xf numFmtId="4" fontId="4" fillId="5" borderId="79" xfId="0" applyNumberFormat="1" applyFont="1" applyFill="1" applyBorder="1" applyAlignment="1" applyProtection="1">
      <alignment vertical="center"/>
      <protection locked="0"/>
    </xf>
    <xf numFmtId="4" fontId="4" fillId="5" borderId="80" xfId="0" applyNumberFormat="1" applyFont="1" applyFill="1" applyBorder="1" applyAlignment="1" applyProtection="1">
      <alignment vertical="center"/>
      <protection locked="0"/>
    </xf>
    <xf numFmtId="4" fontId="4" fillId="0" borderId="30" xfId="0" applyNumberFormat="1" applyFont="1" applyBorder="1" applyAlignment="1">
      <alignment horizontal="center" vertical="center"/>
    </xf>
    <xf numFmtId="4" fontId="4" fillId="0" borderId="22" xfId="0" applyNumberFormat="1" applyFont="1" applyBorder="1" applyAlignment="1" applyProtection="1">
      <alignment vertical="center"/>
      <protection locked="0"/>
    </xf>
    <xf numFmtId="167" fontId="4" fillId="0" borderId="32" xfId="1" quotePrefix="1" applyNumberFormat="1" applyBorder="1" applyAlignment="1">
      <alignment horizontal="center" vertical="center"/>
    </xf>
    <xf numFmtId="4" fontId="4" fillId="0" borderId="23" xfId="0" applyNumberFormat="1" applyFont="1" applyBorder="1" applyAlignment="1">
      <alignment vertical="center"/>
    </xf>
    <xf numFmtId="4" fontId="4" fillId="0" borderId="6" xfId="0" applyNumberFormat="1" applyFont="1" applyBorder="1" applyAlignment="1">
      <alignment vertical="center"/>
    </xf>
    <xf numFmtId="2" fontId="4" fillId="0" borderId="81" xfId="1" applyNumberFormat="1" applyBorder="1" applyAlignment="1">
      <alignment horizontal="center" vertical="center" wrapText="1"/>
    </xf>
    <xf numFmtId="0" fontId="4" fillId="0" borderId="44" xfId="1" applyBorder="1" applyAlignment="1">
      <alignment vertical="center"/>
    </xf>
    <xf numFmtId="164" fontId="2" fillId="2" borderId="0" xfId="3" applyFont="1" applyFill="1" applyAlignment="1">
      <alignment vertical="center"/>
    </xf>
    <xf numFmtId="0" fontId="3" fillId="0" borderId="0" xfId="0" applyFont="1" applyAlignment="1">
      <alignment vertical="center"/>
    </xf>
    <xf numFmtId="164" fontId="2" fillId="0" borderId="0" xfId="3" applyFont="1" applyFill="1" applyAlignment="1">
      <alignment vertical="center"/>
    </xf>
    <xf numFmtId="49" fontId="5" fillId="5" borderId="53" xfId="0" quotePrefix="1" applyNumberFormat="1" applyFont="1" applyFill="1" applyBorder="1" applyAlignment="1" applyProtection="1">
      <alignment horizontal="center" vertical="center"/>
      <protection locked="0"/>
    </xf>
    <xf numFmtId="14" fontId="4" fillId="3" borderId="11" xfId="13" applyNumberFormat="1" applyFont="1" applyFill="1" applyBorder="1" applyAlignment="1">
      <alignment vertical="center"/>
    </xf>
    <xf numFmtId="49" fontId="15" fillId="0" borderId="30" xfId="0" applyNumberFormat="1" applyFont="1" applyFill="1" applyBorder="1" applyAlignment="1" applyProtection="1">
      <alignment horizontal="center" vertical="center"/>
      <protection locked="0"/>
    </xf>
    <xf numFmtId="49" fontId="15" fillId="6" borderId="6" xfId="0" applyNumberFormat="1" applyFont="1" applyFill="1" applyBorder="1" applyAlignment="1" applyProtection="1">
      <alignment horizontal="center" vertical="center"/>
      <protection locked="0"/>
    </xf>
    <xf numFmtId="0" fontId="19" fillId="0" borderId="3" xfId="6" applyFont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22" fillId="0" borderId="157" xfId="6" applyFont="1" applyBorder="1" applyAlignment="1">
      <alignment horizontal="center" vertical="center" wrapText="1"/>
    </xf>
    <xf numFmtId="0" fontId="22" fillId="0" borderId="4" xfId="6" applyFont="1" applyBorder="1" applyAlignment="1">
      <alignment horizontal="center" vertical="center" wrapText="1"/>
    </xf>
    <xf numFmtId="0" fontId="0" fillId="0" borderId="24" xfId="0" applyBorder="1" applyAlignment="1">
      <alignment vertical="center" wrapText="1"/>
    </xf>
    <xf numFmtId="0" fontId="5" fillId="0" borderId="3" xfId="6" quotePrefix="1" applyFont="1" applyBorder="1" applyAlignment="1">
      <alignment horizontal="left" vertical="center"/>
    </xf>
    <xf numFmtId="0" fontId="5" fillId="0" borderId="26" xfId="6" applyFont="1" applyBorder="1" applyAlignment="1">
      <alignment horizontal="left" vertical="center"/>
    </xf>
    <xf numFmtId="0" fontId="3" fillId="0" borderId="37" xfId="4" applyBorder="1" applyAlignment="1">
      <alignment horizontal="left" vertical="center"/>
    </xf>
    <xf numFmtId="0" fontId="5" fillId="0" borderId="12" xfId="6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5" fillId="0" borderId="157" xfId="6" applyFont="1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4" fillId="0" borderId="0" xfId="6" applyFont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0" fillId="0" borderId="0" xfId="0" applyAlignment="1">
      <alignment horizontal="justify" vertical="center" wrapText="1"/>
    </xf>
    <xf numFmtId="0" fontId="5" fillId="0" borderId="3" xfId="6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26" xfId="6" applyFont="1" applyBorder="1" applyAlignment="1">
      <alignment horizontal="center" vertical="center" wrapText="1"/>
    </xf>
    <xf numFmtId="0" fontId="5" fillId="0" borderId="37" xfId="6" applyFont="1" applyBorder="1" applyAlignment="1">
      <alignment horizontal="center" vertical="center" wrapText="1"/>
    </xf>
    <xf numFmtId="0" fontId="5" fillId="0" borderId="157" xfId="6" applyFont="1" applyBorder="1" applyAlignment="1">
      <alignment vertical="center" wrapText="1"/>
    </xf>
    <xf numFmtId="0" fontId="5" fillId="0" borderId="24" xfId="0" applyFont="1" applyBorder="1" applyAlignment="1">
      <alignment vertical="center" wrapText="1"/>
    </xf>
    <xf numFmtId="0" fontId="5" fillId="4" borderId="159" xfId="1" applyFont="1" applyFill="1" applyBorder="1" applyAlignment="1">
      <alignment vertical="center" wrapText="1"/>
    </xf>
    <xf numFmtId="0" fontId="0" fillId="0" borderId="160" xfId="0" applyBorder="1" applyAlignment="1">
      <alignment vertical="center" wrapText="1"/>
    </xf>
    <xf numFmtId="0" fontId="0" fillId="0" borderId="161" xfId="0" applyBorder="1" applyAlignment="1">
      <alignment vertical="center" wrapText="1"/>
    </xf>
    <xf numFmtId="0" fontId="11" fillId="8" borderId="3" xfId="1" applyFont="1" applyFill="1" applyBorder="1" applyAlignment="1">
      <alignment horizontal="left" vertical="center" wrapText="1"/>
    </xf>
    <xf numFmtId="0" fontId="0" fillId="0" borderId="37" xfId="0" applyBorder="1" applyAlignment="1">
      <alignment vertical="center" wrapText="1"/>
    </xf>
    <xf numFmtId="0" fontId="5" fillId="4" borderId="13" xfId="1" applyFont="1" applyFill="1" applyBorder="1" applyAlignment="1">
      <alignment vertical="center" textRotation="90"/>
    </xf>
    <xf numFmtId="0" fontId="5" fillId="0" borderId="17" xfId="0" applyFont="1" applyBorder="1" applyAlignment="1">
      <alignment vertical="center"/>
    </xf>
    <xf numFmtId="2" fontId="5" fillId="0" borderId="16" xfId="0" applyNumberFormat="1" applyFont="1" applyBorder="1" applyAlignment="1">
      <alignment horizontal="center" vertical="center"/>
    </xf>
    <xf numFmtId="0" fontId="4" fillId="0" borderId="66" xfId="0" applyFont="1" applyBorder="1" applyAlignment="1">
      <alignment horizontal="center" vertical="center"/>
    </xf>
    <xf numFmtId="2" fontId="5" fillId="0" borderId="3" xfId="0" applyNumberFormat="1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</cellXfs>
  <cellStyles count="18">
    <cellStyle name="Normal" xfId="0" builtinId="0"/>
    <cellStyle name="Normal 2" xfId="4"/>
    <cellStyle name="Normal 3" xfId="7"/>
    <cellStyle name="Normal 3 2" xfId="6"/>
    <cellStyle name="Normal 3 3" xfId="13"/>
    <cellStyle name="Normal 3 4" xfId="10"/>
    <cellStyle name="Normal 4" xfId="17"/>
    <cellStyle name="Normal_ORÇAMENTO" xfId="1"/>
    <cellStyle name="Normal_ORÇAMENTO ALTERNATIVA 1 DER Junho2001" xfId="2"/>
    <cellStyle name="Porcentagem 2" xfId="5"/>
    <cellStyle name="Porcentagem 3" xfId="16"/>
    <cellStyle name="Separador de milhares" xfId="3" builtinId="3"/>
    <cellStyle name="Vírgula 2" xfId="8"/>
    <cellStyle name="Vírgula 2 2" xfId="14"/>
    <cellStyle name="Vírgula 2 3" xfId="11"/>
    <cellStyle name="Vírgula 3" xfId="12"/>
    <cellStyle name="Vírgula 4" xfId="9"/>
    <cellStyle name="Vírgula 5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53340</xdr:colOff>
      <xdr:row>14</xdr:row>
      <xdr:rowOff>99060</xdr:rowOff>
    </xdr:from>
    <xdr:to>
      <xdr:col>4</xdr:col>
      <xdr:colOff>541020</xdr:colOff>
      <xdr:row>14</xdr:row>
      <xdr:rowOff>99060</xdr:rowOff>
    </xdr:to>
    <xdr:cxnSp macro="">
      <xdr:nvCxnSpPr>
        <xdr:cNvPr id="2" name="Conector de Seta Reta 1">
          <a:extLst>
            <a:ext uri="{FF2B5EF4-FFF2-40B4-BE49-F238E27FC236}">
              <a16:creationId xmlns="" xmlns:a16="http://schemas.microsoft.com/office/drawing/2014/main" id="{B40D4D78-E6D1-4CF4-AFC5-A5FC4F3E5AB8}"/>
            </a:ext>
          </a:extLst>
        </xdr:cNvPr>
        <xdr:cNvCxnSpPr/>
      </xdr:nvCxnSpPr>
      <xdr:spPr bwMode="auto">
        <a:xfrm flipH="1">
          <a:off x="6560820" y="3870960"/>
          <a:ext cx="487680" cy="0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4</xdr:col>
      <xdr:colOff>53340</xdr:colOff>
      <xdr:row>14</xdr:row>
      <xdr:rowOff>99060</xdr:rowOff>
    </xdr:from>
    <xdr:to>
      <xdr:col>4</xdr:col>
      <xdr:colOff>541020</xdr:colOff>
      <xdr:row>14</xdr:row>
      <xdr:rowOff>99060</xdr:rowOff>
    </xdr:to>
    <xdr:cxnSp macro="">
      <xdr:nvCxnSpPr>
        <xdr:cNvPr id="3" name="Conector de Seta Reta 2">
          <a:extLst>
            <a:ext uri="{FF2B5EF4-FFF2-40B4-BE49-F238E27FC236}">
              <a16:creationId xmlns="" xmlns:a16="http://schemas.microsoft.com/office/drawing/2014/main" id="{426D9AF2-E112-4C69-B4EA-CEC0C4D08DC0}"/>
            </a:ext>
          </a:extLst>
        </xdr:cNvPr>
        <xdr:cNvCxnSpPr/>
      </xdr:nvCxnSpPr>
      <xdr:spPr bwMode="auto">
        <a:xfrm flipH="1">
          <a:off x="6560820" y="3870960"/>
          <a:ext cx="487680" cy="0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ruy\_01%20Reequil&#237;brio%20-%20arquivos%20revisados\Realinamento%20SET%202017-INCC-mensal%20ANP-DNIT%202019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CC"/>
      <sheetName val="ANP após 2015"/>
      <sheetName val="percentuais por insumo"/>
      <sheetName val="TESTE"/>
      <sheetName val="proposta"/>
      <sheetName val="2017 SEM"/>
      <sheetName val="R1"/>
      <sheetName val="R2"/>
      <sheetName val="R3"/>
      <sheetName val="R4"/>
      <sheetName val="R5"/>
      <sheetName val="R6"/>
      <sheetName val="R7"/>
      <sheetName val="R8 saldo"/>
      <sheetName val="SOMA"/>
      <sheetName val="resumo"/>
      <sheetName val="Composição TCPOWe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3"/>
  <sheetViews>
    <sheetView workbookViewId="0">
      <selection activeCell="C10" sqref="C10"/>
    </sheetView>
  </sheetViews>
  <sheetFormatPr defaultColWidth="9.33203125" defaultRowHeight="15"/>
  <cols>
    <col min="1" max="1" width="9.33203125" style="64"/>
    <col min="2" max="2" width="24.1640625" style="64" customWidth="1"/>
    <col min="3" max="4" width="31.1640625" style="64" customWidth="1"/>
    <col min="5" max="10" width="9.33203125" style="64"/>
    <col min="11" max="11" width="12" style="64" customWidth="1"/>
    <col min="12" max="16384" width="9.33203125" style="64"/>
  </cols>
  <sheetData>
    <row r="1" spans="1:11">
      <c r="A1" s="61" t="s">
        <v>856</v>
      </c>
      <c r="B1" s="62" t="s">
        <v>857</v>
      </c>
      <c r="C1" s="62"/>
      <c r="D1" s="62"/>
      <c r="E1" s="62"/>
      <c r="F1" s="62"/>
      <c r="G1" s="62"/>
      <c r="H1" s="62"/>
      <c r="I1" s="62"/>
      <c r="J1" s="62"/>
      <c r="K1" s="63"/>
    </row>
    <row r="2" spans="1:11" ht="21">
      <c r="A2" s="65"/>
      <c r="B2" s="66" t="s">
        <v>858</v>
      </c>
      <c r="C2" s="66"/>
      <c r="D2" s="66"/>
      <c r="E2" s="67"/>
      <c r="F2" s="67"/>
      <c r="G2" s="67"/>
      <c r="H2" s="67"/>
      <c r="I2" s="67"/>
      <c r="J2" s="67"/>
      <c r="K2" s="68"/>
    </row>
    <row r="3" spans="1:11" ht="13.9" customHeight="1">
      <c r="A3" s="65"/>
      <c r="B3" s="69" t="s">
        <v>859</v>
      </c>
      <c r="C3" s="70" t="s">
        <v>860</v>
      </c>
      <c r="D3" s="71"/>
      <c r="E3" s="67"/>
      <c r="F3" s="67"/>
      <c r="G3" s="67"/>
      <c r="H3" s="67"/>
      <c r="I3" s="67"/>
      <c r="J3" s="67"/>
      <c r="K3" s="68"/>
    </row>
    <row r="4" spans="1:11" ht="13.9" customHeight="1">
      <c r="A4" s="65"/>
      <c r="B4" s="72" t="s">
        <v>861</v>
      </c>
      <c r="C4" s="73" t="s">
        <v>862</v>
      </c>
      <c r="D4" s="73" t="s">
        <v>863</v>
      </c>
      <c r="E4" s="67"/>
      <c r="F4" s="67"/>
      <c r="G4" s="67"/>
      <c r="H4" s="67"/>
      <c r="I4" s="67"/>
      <c r="J4" s="67"/>
      <c r="K4" s="68"/>
    </row>
    <row r="5" spans="1:11" ht="13.15" customHeight="1">
      <c r="A5" s="65"/>
      <c r="B5" s="73" t="s">
        <v>864</v>
      </c>
      <c r="C5" s="73" t="s">
        <v>865</v>
      </c>
      <c r="D5" s="73" t="s">
        <v>866</v>
      </c>
      <c r="E5" s="67"/>
      <c r="F5" s="67"/>
      <c r="G5" s="67"/>
      <c r="H5" s="67"/>
      <c r="I5" s="67"/>
      <c r="J5" s="67"/>
      <c r="K5" s="68"/>
    </row>
    <row r="6" spans="1:11" ht="13.15" customHeight="1">
      <c r="A6" s="65"/>
      <c r="B6" s="73" t="s">
        <v>867</v>
      </c>
      <c r="C6" s="73" t="s">
        <v>866</v>
      </c>
      <c r="D6" s="73" t="s">
        <v>868</v>
      </c>
      <c r="E6" s="67"/>
      <c r="F6" s="67"/>
      <c r="G6" s="67"/>
      <c r="H6" s="67"/>
      <c r="I6" s="67"/>
      <c r="J6" s="67"/>
      <c r="K6" s="68"/>
    </row>
    <row r="7" spans="1:11" ht="13.15" customHeight="1">
      <c r="A7" s="65"/>
      <c r="B7" s="73" t="s">
        <v>869</v>
      </c>
      <c r="C7" s="73" t="s">
        <v>868</v>
      </c>
      <c r="D7" s="73" t="s">
        <v>870</v>
      </c>
      <c r="E7" s="74" t="s">
        <v>871</v>
      </c>
      <c r="F7" s="75" t="s">
        <v>872</v>
      </c>
      <c r="G7" s="67"/>
      <c r="H7" s="67"/>
      <c r="I7" s="67"/>
      <c r="J7" s="67"/>
      <c r="K7" s="68"/>
    </row>
    <row r="8" spans="1:11" ht="13.15" customHeight="1">
      <c r="A8" s="65"/>
      <c r="B8" s="73" t="s">
        <v>873</v>
      </c>
      <c r="C8" s="73" t="s">
        <v>870</v>
      </c>
      <c r="D8" s="73" t="s">
        <v>874</v>
      </c>
      <c r="E8" s="67"/>
      <c r="F8" s="67"/>
      <c r="G8" s="67"/>
      <c r="H8" s="67"/>
      <c r="I8" s="67"/>
      <c r="J8" s="67"/>
      <c r="K8" s="68"/>
    </row>
    <row r="9" spans="1:11" ht="13.15" customHeight="1">
      <c r="A9" s="65"/>
      <c r="B9" s="73" t="s">
        <v>875</v>
      </c>
      <c r="C9" s="73" t="s">
        <v>874</v>
      </c>
      <c r="D9" s="73" t="s">
        <v>876</v>
      </c>
      <c r="E9" s="67"/>
      <c r="F9" s="67"/>
      <c r="G9" s="67"/>
      <c r="H9" s="67"/>
      <c r="I9" s="67"/>
      <c r="J9" s="67"/>
      <c r="K9" s="68"/>
    </row>
    <row r="10" spans="1:11" ht="13.15" customHeight="1">
      <c r="A10" s="65"/>
      <c r="B10" s="73" t="s">
        <v>877</v>
      </c>
      <c r="C10" s="73" t="s">
        <v>876</v>
      </c>
      <c r="D10" s="73" t="s">
        <v>878</v>
      </c>
      <c r="E10" s="67"/>
      <c r="F10" s="67"/>
      <c r="G10" s="67"/>
      <c r="H10" s="67"/>
      <c r="I10" s="67"/>
      <c r="J10" s="67"/>
      <c r="K10" s="68"/>
    </row>
    <row r="11" spans="1:11" ht="13.15" customHeight="1">
      <c r="A11" s="65"/>
      <c r="B11" s="73" t="s">
        <v>879</v>
      </c>
      <c r="C11" s="73" t="s">
        <v>878</v>
      </c>
      <c r="D11" s="73" t="s">
        <v>880</v>
      </c>
      <c r="E11" s="67"/>
      <c r="F11" s="67"/>
      <c r="G11" s="67"/>
      <c r="H11" s="67"/>
      <c r="I11" s="67"/>
      <c r="J11" s="67"/>
      <c r="K11" s="68"/>
    </row>
    <row r="12" spans="1:11" ht="9" customHeight="1">
      <c r="A12" s="65"/>
      <c r="B12" s="76"/>
      <c r="C12" s="76"/>
      <c r="D12" s="76"/>
      <c r="E12" s="67"/>
      <c r="F12" s="67"/>
      <c r="G12" s="67"/>
      <c r="H12" s="67"/>
      <c r="I12" s="67"/>
      <c r="J12" s="67"/>
      <c r="K12" s="68"/>
    </row>
    <row r="13" spans="1:11" ht="13.15" customHeight="1">
      <c r="A13" s="77">
        <v>2</v>
      </c>
      <c r="B13" s="76" t="s">
        <v>881</v>
      </c>
      <c r="C13" s="76"/>
      <c r="D13" s="76"/>
      <c r="E13" s="66"/>
      <c r="F13" s="66"/>
      <c r="G13" s="66"/>
      <c r="H13" s="66"/>
      <c r="I13" s="66"/>
      <c r="J13" s="66"/>
      <c r="K13" s="68"/>
    </row>
    <row r="14" spans="1:11" ht="13.15" customHeight="1">
      <c r="A14" s="65"/>
      <c r="B14" s="76" t="s">
        <v>882</v>
      </c>
      <c r="C14" s="76"/>
      <c r="D14" s="76"/>
      <c r="E14" s="67"/>
      <c r="F14" s="67"/>
      <c r="G14" s="67"/>
      <c r="H14" s="67"/>
      <c r="I14" s="67"/>
      <c r="J14" s="67"/>
      <c r="K14" s="68"/>
    </row>
    <row r="15" spans="1:11" ht="13.15" customHeight="1">
      <c r="A15" s="65"/>
      <c r="B15" s="69" t="s">
        <v>859</v>
      </c>
      <c r="C15" s="70" t="s">
        <v>860</v>
      </c>
      <c r="D15" s="71"/>
      <c r="E15" s="67"/>
      <c r="F15" s="67"/>
      <c r="G15" s="67"/>
      <c r="H15" s="67"/>
      <c r="I15" s="67"/>
      <c r="J15" s="67"/>
      <c r="K15" s="68"/>
    </row>
    <row r="16" spans="1:11" ht="13.15" customHeight="1">
      <c r="A16" s="65"/>
      <c r="B16" s="72" t="s">
        <v>861</v>
      </c>
      <c r="C16" s="73" t="s">
        <v>862</v>
      </c>
      <c r="D16" s="73" t="s">
        <v>863</v>
      </c>
      <c r="E16" s="67"/>
      <c r="F16" s="67"/>
      <c r="G16" s="67"/>
      <c r="H16" s="67"/>
      <c r="I16" s="67"/>
      <c r="J16" s="67"/>
      <c r="K16" s="68"/>
    </row>
    <row r="17" spans="1:11" ht="13.15" customHeight="1">
      <c r="A17" s="65"/>
      <c r="B17" s="73" t="s">
        <v>864</v>
      </c>
      <c r="C17" s="73" t="s">
        <v>865</v>
      </c>
      <c r="D17" s="73" t="s">
        <v>883</v>
      </c>
      <c r="E17" s="67"/>
      <c r="F17" s="67"/>
      <c r="G17" s="67"/>
      <c r="H17" s="67"/>
      <c r="I17" s="67"/>
      <c r="J17" s="67"/>
      <c r="K17" s="68"/>
    </row>
    <row r="18" spans="1:11" ht="13.15" customHeight="1">
      <c r="A18" s="65"/>
      <c r="B18" s="73" t="s">
        <v>867</v>
      </c>
      <c r="C18" s="73" t="s">
        <v>883</v>
      </c>
      <c r="D18" s="73" t="s">
        <v>884</v>
      </c>
      <c r="E18" s="74" t="s">
        <v>871</v>
      </c>
      <c r="F18" s="75" t="s">
        <v>885</v>
      </c>
      <c r="G18" s="67"/>
      <c r="H18" s="67"/>
      <c r="I18" s="67"/>
      <c r="J18" s="67"/>
      <c r="K18" s="68"/>
    </row>
    <row r="19" spans="1:11" ht="13.15" customHeight="1">
      <c r="A19" s="65"/>
      <c r="B19" s="73" t="s">
        <v>869</v>
      </c>
      <c r="C19" s="73" t="s">
        <v>884</v>
      </c>
      <c r="D19" s="73" t="s">
        <v>886</v>
      </c>
      <c r="E19" s="67"/>
      <c r="F19" s="67"/>
      <c r="G19" s="67"/>
      <c r="H19" s="67"/>
      <c r="I19" s="67"/>
      <c r="J19" s="67"/>
      <c r="K19" s="68"/>
    </row>
    <row r="20" spans="1:11" ht="13.15" customHeight="1">
      <c r="A20" s="65"/>
      <c r="B20" s="73" t="s">
        <v>873</v>
      </c>
      <c r="C20" s="73" t="s">
        <v>886</v>
      </c>
      <c r="D20" s="73" t="s">
        <v>880</v>
      </c>
      <c r="E20" s="67"/>
      <c r="F20" s="67"/>
      <c r="G20" s="67"/>
      <c r="H20" s="67"/>
      <c r="I20" s="67"/>
      <c r="J20" s="67"/>
      <c r="K20" s="68"/>
    </row>
    <row r="21" spans="1:11" ht="13.15" customHeight="1">
      <c r="A21" s="65"/>
      <c r="B21" s="73" t="s">
        <v>875</v>
      </c>
      <c r="C21" s="73" t="s">
        <v>880</v>
      </c>
      <c r="D21" s="73" t="s">
        <v>887</v>
      </c>
      <c r="E21" s="67"/>
      <c r="F21" s="67"/>
      <c r="G21" s="67"/>
      <c r="H21" s="67"/>
      <c r="I21" s="67"/>
      <c r="J21" s="67"/>
      <c r="K21" s="68"/>
    </row>
    <row r="22" spans="1:11" ht="13.15" customHeight="1">
      <c r="A22" s="65"/>
      <c r="B22" s="73" t="s">
        <v>877</v>
      </c>
      <c r="C22" s="73" t="s">
        <v>887</v>
      </c>
      <c r="D22" s="73" t="s">
        <v>888</v>
      </c>
      <c r="E22" s="67"/>
      <c r="F22" s="67"/>
      <c r="G22" s="67"/>
      <c r="H22" s="67"/>
      <c r="I22" s="67"/>
      <c r="J22" s="67"/>
      <c r="K22" s="68"/>
    </row>
    <row r="23" spans="1:11" ht="13.15" customHeight="1" thickBot="1">
      <c r="A23" s="78"/>
      <c r="B23" s="79" t="s">
        <v>879</v>
      </c>
      <c r="C23" s="79" t="s">
        <v>888</v>
      </c>
      <c r="D23" s="79" t="s">
        <v>889</v>
      </c>
      <c r="E23" s="80"/>
      <c r="F23" s="80"/>
      <c r="G23" s="80"/>
      <c r="H23" s="80"/>
      <c r="I23" s="80"/>
      <c r="J23" s="80"/>
      <c r="K23" s="81"/>
    </row>
  </sheetData>
  <pageMargins left="0.511811024" right="0.511811024" top="0.78740157499999996" bottom="0.78740157499999996" header="0.31496062000000002" footer="0.31496062000000002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131"/>
  <sheetViews>
    <sheetView showZeros="0" topLeftCell="D112" zoomScale="112" zoomScaleNormal="112" workbookViewId="0">
      <selection sqref="A1:C1"/>
    </sheetView>
  </sheetViews>
  <sheetFormatPr defaultColWidth="10.6640625" defaultRowHeight="12.75"/>
  <cols>
    <col min="1" max="1" width="10.6640625" style="31" customWidth="1"/>
    <col min="2" max="2" width="13.1640625" style="31" customWidth="1"/>
    <col min="3" max="3" width="38" style="31" customWidth="1"/>
    <col min="4" max="4" width="3.83203125" style="31" customWidth="1"/>
    <col min="5" max="16" width="10" style="31" customWidth="1"/>
    <col min="17" max="17" width="10.6640625" style="31" customWidth="1"/>
    <col min="18" max="255" width="10.6640625" style="31"/>
    <col min="256" max="256" width="13.1640625" style="31" customWidth="1"/>
    <col min="257" max="257" width="79" style="31" customWidth="1"/>
    <col min="258" max="258" width="3.83203125" style="31" customWidth="1"/>
    <col min="259" max="271" width="12.5" style="31" customWidth="1"/>
    <col min="272" max="272" width="8.5" style="31" customWidth="1"/>
    <col min="273" max="511" width="10.6640625" style="31"/>
    <col min="512" max="512" width="13.1640625" style="31" customWidth="1"/>
    <col min="513" max="513" width="79" style="31" customWidth="1"/>
    <col min="514" max="514" width="3.83203125" style="31" customWidth="1"/>
    <col min="515" max="527" width="12.5" style="31" customWidth="1"/>
    <col min="528" max="528" width="8.5" style="31" customWidth="1"/>
    <col min="529" max="767" width="10.6640625" style="31"/>
    <col min="768" max="768" width="13.1640625" style="31" customWidth="1"/>
    <col min="769" max="769" width="79" style="31" customWidth="1"/>
    <col min="770" max="770" width="3.83203125" style="31" customWidth="1"/>
    <col min="771" max="783" width="12.5" style="31" customWidth="1"/>
    <col min="784" max="784" width="8.5" style="31" customWidth="1"/>
    <col min="785" max="1023" width="10.6640625" style="31"/>
    <col min="1024" max="1024" width="13.1640625" style="31" customWidth="1"/>
    <col min="1025" max="1025" width="79" style="31" customWidth="1"/>
    <col min="1026" max="1026" width="3.83203125" style="31" customWidth="1"/>
    <col min="1027" max="1039" width="12.5" style="31" customWidth="1"/>
    <col min="1040" max="1040" width="8.5" style="31" customWidth="1"/>
    <col min="1041" max="1279" width="10.6640625" style="31"/>
    <col min="1280" max="1280" width="13.1640625" style="31" customWidth="1"/>
    <col min="1281" max="1281" width="79" style="31" customWidth="1"/>
    <col min="1282" max="1282" width="3.83203125" style="31" customWidth="1"/>
    <col min="1283" max="1295" width="12.5" style="31" customWidth="1"/>
    <col min="1296" max="1296" width="8.5" style="31" customWidth="1"/>
    <col min="1297" max="1535" width="10.6640625" style="31"/>
    <col min="1536" max="1536" width="13.1640625" style="31" customWidth="1"/>
    <col min="1537" max="1537" width="79" style="31" customWidth="1"/>
    <col min="1538" max="1538" width="3.83203125" style="31" customWidth="1"/>
    <col min="1539" max="1551" width="12.5" style="31" customWidth="1"/>
    <col min="1552" max="1552" width="8.5" style="31" customWidth="1"/>
    <col min="1553" max="1791" width="10.6640625" style="31"/>
    <col min="1792" max="1792" width="13.1640625" style="31" customWidth="1"/>
    <col min="1793" max="1793" width="79" style="31" customWidth="1"/>
    <col min="1794" max="1794" width="3.83203125" style="31" customWidth="1"/>
    <col min="1795" max="1807" width="12.5" style="31" customWidth="1"/>
    <col min="1808" max="1808" width="8.5" style="31" customWidth="1"/>
    <col min="1809" max="2047" width="10.6640625" style="31"/>
    <col min="2048" max="2048" width="13.1640625" style="31" customWidth="1"/>
    <col min="2049" max="2049" width="79" style="31" customWidth="1"/>
    <col min="2050" max="2050" width="3.83203125" style="31" customWidth="1"/>
    <col min="2051" max="2063" width="12.5" style="31" customWidth="1"/>
    <col min="2064" max="2064" width="8.5" style="31" customWidth="1"/>
    <col min="2065" max="2303" width="10.6640625" style="31"/>
    <col min="2304" max="2304" width="13.1640625" style="31" customWidth="1"/>
    <col min="2305" max="2305" width="79" style="31" customWidth="1"/>
    <col min="2306" max="2306" width="3.83203125" style="31" customWidth="1"/>
    <col min="2307" max="2319" width="12.5" style="31" customWidth="1"/>
    <col min="2320" max="2320" width="8.5" style="31" customWidth="1"/>
    <col min="2321" max="2559" width="10.6640625" style="31"/>
    <col min="2560" max="2560" width="13.1640625" style="31" customWidth="1"/>
    <col min="2561" max="2561" width="79" style="31" customWidth="1"/>
    <col min="2562" max="2562" width="3.83203125" style="31" customWidth="1"/>
    <col min="2563" max="2575" width="12.5" style="31" customWidth="1"/>
    <col min="2576" max="2576" width="8.5" style="31" customWidth="1"/>
    <col min="2577" max="2815" width="10.6640625" style="31"/>
    <col min="2816" max="2816" width="13.1640625" style="31" customWidth="1"/>
    <col min="2817" max="2817" width="79" style="31" customWidth="1"/>
    <col min="2818" max="2818" width="3.83203125" style="31" customWidth="1"/>
    <col min="2819" max="2831" width="12.5" style="31" customWidth="1"/>
    <col min="2832" max="2832" width="8.5" style="31" customWidth="1"/>
    <col min="2833" max="3071" width="10.6640625" style="31"/>
    <col min="3072" max="3072" width="13.1640625" style="31" customWidth="1"/>
    <col min="3073" max="3073" width="79" style="31" customWidth="1"/>
    <col min="3074" max="3074" width="3.83203125" style="31" customWidth="1"/>
    <col min="3075" max="3087" width="12.5" style="31" customWidth="1"/>
    <col min="3088" max="3088" width="8.5" style="31" customWidth="1"/>
    <col min="3089" max="3327" width="10.6640625" style="31"/>
    <col min="3328" max="3328" width="13.1640625" style="31" customWidth="1"/>
    <col min="3329" max="3329" width="79" style="31" customWidth="1"/>
    <col min="3330" max="3330" width="3.83203125" style="31" customWidth="1"/>
    <col min="3331" max="3343" width="12.5" style="31" customWidth="1"/>
    <col min="3344" max="3344" width="8.5" style="31" customWidth="1"/>
    <col min="3345" max="3583" width="10.6640625" style="31"/>
    <col min="3584" max="3584" width="13.1640625" style="31" customWidth="1"/>
    <col min="3585" max="3585" width="79" style="31" customWidth="1"/>
    <col min="3586" max="3586" width="3.83203125" style="31" customWidth="1"/>
    <col min="3587" max="3599" width="12.5" style="31" customWidth="1"/>
    <col min="3600" max="3600" width="8.5" style="31" customWidth="1"/>
    <col min="3601" max="3839" width="10.6640625" style="31"/>
    <col min="3840" max="3840" width="13.1640625" style="31" customWidth="1"/>
    <col min="3841" max="3841" width="79" style="31" customWidth="1"/>
    <col min="3842" max="3842" width="3.83203125" style="31" customWidth="1"/>
    <col min="3843" max="3855" width="12.5" style="31" customWidth="1"/>
    <col min="3856" max="3856" width="8.5" style="31" customWidth="1"/>
    <col min="3857" max="4095" width="10.6640625" style="31"/>
    <col min="4096" max="4096" width="13.1640625" style="31" customWidth="1"/>
    <col min="4097" max="4097" width="79" style="31" customWidth="1"/>
    <col min="4098" max="4098" width="3.83203125" style="31" customWidth="1"/>
    <col min="4099" max="4111" width="12.5" style="31" customWidth="1"/>
    <col min="4112" max="4112" width="8.5" style="31" customWidth="1"/>
    <col min="4113" max="4351" width="10.6640625" style="31"/>
    <col min="4352" max="4352" width="13.1640625" style="31" customWidth="1"/>
    <col min="4353" max="4353" width="79" style="31" customWidth="1"/>
    <col min="4354" max="4354" width="3.83203125" style="31" customWidth="1"/>
    <col min="4355" max="4367" width="12.5" style="31" customWidth="1"/>
    <col min="4368" max="4368" width="8.5" style="31" customWidth="1"/>
    <col min="4369" max="4607" width="10.6640625" style="31"/>
    <col min="4608" max="4608" width="13.1640625" style="31" customWidth="1"/>
    <col min="4609" max="4609" width="79" style="31" customWidth="1"/>
    <col min="4610" max="4610" width="3.83203125" style="31" customWidth="1"/>
    <col min="4611" max="4623" width="12.5" style="31" customWidth="1"/>
    <col min="4624" max="4624" width="8.5" style="31" customWidth="1"/>
    <col min="4625" max="4863" width="10.6640625" style="31"/>
    <col min="4864" max="4864" width="13.1640625" style="31" customWidth="1"/>
    <col min="4865" max="4865" width="79" style="31" customWidth="1"/>
    <col min="4866" max="4866" width="3.83203125" style="31" customWidth="1"/>
    <col min="4867" max="4879" width="12.5" style="31" customWidth="1"/>
    <col min="4880" max="4880" width="8.5" style="31" customWidth="1"/>
    <col min="4881" max="5119" width="10.6640625" style="31"/>
    <col min="5120" max="5120" width="13.1640625" style="31" customWidth="1"/>
    <col min="5121" max="5121" width="79" style="31" customWidth="1"/>
    <col min="5122" max="5122" width="3.83203125" style="31" customWidth="1"/>
    <col min="5123" max="5135" width="12.5" style="31" customWidth="1"/>
    <col min="5136" max="5136" width="8.5" style="31" customWidth="1"/>
    <col min="5137" max="5375" width="10.6640625" style="31"/>
    <col min="5376" max="5376" width="13.1640625" style="31" customWidth="1"/>
    <col min="5377" max="5377" width="79" style="31" customWidth="1"/>
    <col min="5378" max="5378" width="3.83203125" style="31" customWidth="1"/>
    <col min="5379" max="5391" width="12.5" style="31" customWidth="1"/>
    <col min="5392" max="5392" width="8.5" style="31" customWidth="1"/>
    <col min="5393" max="5631" width="10.6640625" style="31"/>
    <col min="5632" max="5632" width="13.1640625" style="31" customWidth="1"/>
    <col min="5633" max="5633" width="79" style="31" customWidth="1"/>
    <col min="5634" max="5634" width="3.83203125" style="31" customWidth="1"/>
    <col min="5635" max="5647" width="12.5" style="31" customWidth="1"/>
    <col min="5648" max="5648" width="8.5" style="31" customWidth="1"/>
    <col min="5649" max="5887" width="10.6640625" style="31"/>
    <col min="5888" max="5888" width="13.1640625" style="31" customWidth="1"/>
    <col min="5889" max="5889" width="79" style="31" customWidth="1"/>
    <col min="5890" max="5890" width="3.83203125" style="31" customWidth="1"/>
    <col min="5891" max="5903" width="12.5" style="31" customWidth="1"/>
    <col min="5904" max="5904" width="8.5" style="31" customWidth="1"/>
    <col min="5905" max="6143" width="10.6640625" style="31"/>
    <col min="6144" max="6144" width="13.1640625" style="31" customWidth="1"/>
    <col min="6145" max="6145" width="79" style="31" customWidth="1"/>
    <col min="6146" max="6146" width="3.83203125" style="31" customWidth="1"/>
    <col min="6147" max="6159" width="12.5" style="31" customWidth="1"/>
    <col min="6160" max="6160" width="8.5" style="31" customWidth="1"/>
    <col min="6161" max="6399" width="10.6640625" style="31"/>
    <col min="6400" max="6400" width="13.1640625" style="31" customWidth="1"/>
    <col min="6401" max="6401" width="79" style="31" customWidth="1"/>
    <col min="6402" max="6402" width="3.83203125" style="31" customWidth="1"/>
    <col min="6403" max="6415" width="12.5" style="31" customWidth="1"/>
    <col min="6416" max="6416" width="8.5" style="31" customWidth="1"/>
    <col min="6417" max="6655" width="10.6640625" style="31"/>
    <col min="6656" max="6656" width="13.1640625" style="31" customWidth="1"/>
    <col min="6657" max="6657" width="79" style="31" customWidth="1"/>
    <col min="6658" max="6658" width="3.83203125" style="31" customWidth="1"/>
    <col min="6659" max="6671" width="12.5" style="31" customWidth="1"/>
    <col min="6672" max="6672" width="8.5" style="31" customWidth="1"/>
    <col min="6673" max="6911" width="10.6640625" style="31"/>
    <col min="6912" max="6912" width="13.1640625" style="31" customWidth="1"/>
    <col min="6913" max="6913" width="79" style="31" customWidth="1"/>
    <col min="6914" max="6914" width="3.83203125" style="31" customWidth="1"/>
    <col min="6915" max="6927" width="12.5" style="31" customWidth="1"/>
    <col min="6928" max="6928" width="8.5" style="31" customWidth="1"/>
    <col min="6929" max="7167" width="10.6640625" style="31"/>
    <col min="7168" max="7168" width="13.1640625" style="31" customWidth="1"/>
    <col min="7169" max="7169" width="79" style="31" customWidth="1"/>
    <col min="7170" max="7170" width="3.83203125" style="31" customWidth="1"/>
    <col min="7171" max="7183" width="12.5" style="31" customWidth="1"/>
    <col min="7184" max="7184" width="8.5" style="31" customWidth="1"/>
    <col min="7185" max="7423" width="10.6640625" style="31"/>
    <col min="7424" max="7424" width="13.1640625" style="31" customWidth="1"/>
    <col min="7425" max="7425" width="79" style="31" customWidth="1"/>
    <col min="7426" max="7426" width="3.83203125" style="31" customWidth="1"/>
    <col min="7427" max="7439" width="12.5" style="31" customWidth="1"/>
    <col min="7440" max="7440" width="8.5" style="31" customWidth="1"/>
    <col min="7441" max="7679" width="10.6640625" style="31"/>
    <col min="7680" max="7680" width="13.1640625" style="31" customWidth="1"/>
    <col min="7681" max="7681" width="79" style="31" customWidth="1"/>
    <col min="7682" max="7682" width="3.83203125" style="31" customWidth="1"/>
    <col min="7683" max="7695" width="12.5" style="31" customWidth="1"/>
    <col min="7696" max="7696" width="8.5" style="31" customWidth="1"/>
    <col min="7697" max="7935" width="10.6640625" style="31"/>
    <col min="7936" max="7936" width="13.1640625" style="31" customWidth="1"/>
    <col min="7937" max="7937" width="79" style="31" customWidth="1"/>
    <col min="7938" max="7938" width="3.83203125" style="31" customWidth="1"/>
    <col min="7939" max="7951" width="12.5" style="31" customWidth="1"/>
    <col min="7952" max="7952" width="8.5" style="31" customWidth="1"/>
    <col min="7953" max="8191" width="10.6640625" style="31"/>
    <col min="8192" max="8192" width="13.1640625" style="31" customWidth="1"/>
    <col min="8193" max="8193" width="79" style="31" customWidth="1"/>
    <col min="8194" max="8194" width="3.83203125" style="31" customWidth="1"/>
    <col min="8195" max="8207" width="12.5" style="31" customWidth="1"/>
    <col min="8208" max="8208" width="8.5" style="31" customWidth="1"/>
    <col min="8209" max="8447" width="10.6640625" style="31"/>
    <col min="8448" max="8448" width="13.1640625" style="31" customWidth="1"/>
    <col min="8449" max="8449" width="79" style="31" customWidth="1"/>
    <col min="8450" max="8450" width="3.83203125" style="31" customWidth="1"/>
    <col min="8451" max="8463" width="12.5" style="31" customWidth="1"/>
    <col min="8464" max="8464" width="8.5" style="31" customWidth="1"/>
    <col min="8465" max="8703" width="10.6640625" style="31"/>
    <col min="8704" max="8704" width="13.1640625" style="31" customWidth="1"/>
    <col min="8705" max="8705" width="79" style="31" customWidth="1"/>
    <col min="8706" max="8706" width="3.83203125" style="31" customWidth="1"/>
    <col min="8707" max="8719" width="12.5" style="31" customWidth="1"/>
    <col min="8720" max="8720" width="8.5" style="31" customWidth="1"/>
    <col min="8721" max="8959" width="10.6640625" style="31"/>
    <col min="8960" max="8960" width="13.1640625" style="31" customWidth="1"/>
    <col min="8961" max="8961" width="79" style="31" customWidth="1"/>
    <col min="8962" max="8962" width="3.83203125" style="31" customWidth="1"/>
    <col min="8963" max="8975" width="12.5" style="31" customWidth="1"/>
    <col min="8976" max="8976" width="8.5" style="31" customWidth="1"/>
    <col min="8977" max="9215" width="10.6640625" style="31"/>
    <col min="9216" max="9216" width="13.1640625" style="31" customWidth="1"/>
    <col min="9217" max="9217" width="79" style="31" customWidth="1"/>
    <col min="9218" max="9218" width="3.83203125" style="31" customWidth="1"/>
    <col min="9219" max="9231" width="12.5" style="31" customWidth="1"/>
    <col min="9232" max="9232" width="8.5" style="31" customWidth="1"/>
    <col min="9233" max="9471" width="10.6640625" style="31"/>
    <col min="9472" max="9472" width="13.1640625" style="31" customWidth="1"/>
    <col min="9473" max="9473" width="79" style="31" customWidth="1"/>
    <col min="9474" max="9474" width="3.83203125" style="31" customWidth="1"/>
    <col min="9475" max="9487" width="12.5" style="31" customWidth="1"/>
    <col min="9488" max="9488" width="8.5" style="31" customWidth="1"/>
    <col min="9489" max="9727" width="10.6640625" style="31"/>
    <col min="9728" max="9728" width="13.1640625" style="31" customWidth="1"/>
    <col min="9729" max="9729" width="79" style="31" customWidth="1"/>
    <col min="9730" max="9730" width="3.83203125" style="31" customWidth="1"/>
    <col min="9731" max="9743" width="12.5" style="31" customWidth="1"/>
    <col min="9744" max="9744" width="8.5" style="31" customWidth="1"/>
    <col min="9745" max="9983" width="10.6640625" style="31"/>
    <col min="9984" max="9984" width="13.1640625" style="31" customWidth="1"/>
    <col min="9985" max="9985" width="79" style="31" customWidth="1"/>
    <col min="9986" max="9986" width="3.83203125" style="31" customWidth="1"/>
    <col min="9987" max="9999" width="12.5" style="31" customWidth="1"/>
    <col min="10000" max="10000" width="8.5" style="31" customWidth="1"/>
    <col min="10001" max="10239" width="10.6640625" style="31"/>
    <col min="10240" max="10240" width="13.1640625" style="31" customWidth="1"/>
    <col min="10241" max="10241" width="79" style="31" customWidth="1"/>
    <col min="10242" max="10242" width="3.83203125" style="31" customWidth="1"/>
    <col min="10243" max="10255" width="12.5" style="31" customWidth="1"/>
    <col min="10256" max="10256" width="8.5" style="31" customWidth="1"/>
    <col min="10257" max="10495" width="10.6640625" style="31"/>
    <col min="10496" max="10496" width="13.1640625" style="31" customWidth="1"/>
    <col min="10497" max="10497" width="79" style="31" customWidth="1"/>
    <col min="10498" max="10498" width="3.83203125" style="31" customWidth="1"/>
    <col min="10499" max="10511" width="12.5" style="31" customWidth="1"/>
    <col min="10512" max="10512" width="8.5" style="31" customWidth="1"/>
    <col min="10513" max="10751" width="10.6640625" style="31"/>
    <col min="10752" max="10752" width="13.1640625" style="31" customWidth="1"/>
    <col min="10753" max="10753" width="79" style="31" customWidth="1"/>
    <col min="10754" max="10754" width="3.83203125" style="31" customWidth="1"/>
    <col min="10755" max="10767" width="12.5" style="31" customWidth="1"/>
    <col min="10768" max="10768" width="8.5" style="31" customWidth="1"/>
    <col min="10769" max="11007" width="10.6640625" style="31"/>
    <col min="11008" max="11008" width="13.1640625" style="31" customWidth="1"/>
    <col min="11009" max="11009" width="79" style="31" customWidth="1"/>
    <col min="11010" max="11010" width="3.83203125" style="31" customWidth="1"/>
    <col min="11011" max="11023" width="12.5" style="31" customWidth="1"/>
    <col min="11024" max="11024" width="8.5" style="31" customWidth="1"/>
    <col min="11025" max="11263" width="10.6640625" style="31"/>
    <col min="11264" max="11264" width="13.1640625" style="31" customWidth="1"/>
    <col min="11265" max="11265" width="79" style="31" customWidth="1"/>
    <col min="11266" max="11266" width="3.83203125" style="31" customWidth="1"/>
    <col min="11267" max="11279" width="12.5" style="31" customWidth="1"/>
    <col min="11280" max="11280" width="8.5" style="31" customWidth="1"/>
    <col min="11281" max="11519" width="10.6640625" style="31"/>
    <col min="11520" max="11520" width="13.1640625" style="31" customWidth="1"/>
    <col min="11521" max="11521" width="79" style="31" customWidth="1"/>
    <col min="11522" max="11522" width="3.83203125" style="31" customWidth="1"/>
    <col min="11523" max="11535" width="12.5" style="31" customWidth="1"/>
    <col min="11536" max="11536" width="8.5" style="31" customWidth="1"/>
    <col min="11537" max="11775" width="10.6640625" style="31"/>
    <col min="11776" max="11776" width="13.1640625" style="31" customWidth="1"/>
    <col min="11777" max="11777" width="79" style="31" customWidth="1"/>
    <col min="11778" max="11778" width="3.83203125" style="31" customWidth="1"/>
    <col min="11779" max="11791" width="12.5" style="31" customWidth="1"/>
    <col min="11792" max="11792" width="8.5" style="31" customWidth="1"/>
    <col min="11793" max="12031" width="10.6640625" style="31"/>
    <col min="12032" max="12032" width="13.1640625" style="31" customWidth="1"/>
    <col min="12033" max="12033" width="79" style="31" customWidth="1"/>
    <col min="12034" max="12034" width="3.83203125" style="31" customWidth="1"/>
    <col min="12035" max="12047" width="12.5" style="31" customWidth="1"/>
    <col min="12048" max="12048" width="8.5" style="31" customWidth="1"/>
    <col min="12049" max="12287" width="10.6640625" style="31"/>
    <col min="12288" max="12288" width="13.1640625" style="31" customWidth="1"/>
    <col min="12289" max="12289" width="79" style="31" customWidth="1"/>
    <col min="12290" max="12290" width="3.83203125" style="31" customWidth="1"/>
    <col min="12291" max="12303" width="12.5" style="31" customWidth="1"/>
    <col min="12304" max="12304" width="8.5" style="31" customWidth="1"/>
    <col min="12305" max="12543" width="10.6640625" style="31"/>
    <col min="12544" max="12544" width="13.1640625" style="31" customWidth="1"/>
    <col min="12545" max="12545" width="79" style="31" customWidth="1"/>
    <col min="12546" max="12546" width="3.83203125" style="31" customWidth="1"/>
    <col min="12547" max="12559" width="12.5" style="31" customWidth="1"/>
    <col min="12560" max="12560" width="8.5" style="31" customWidth="1"/>
    <col min="12561" max="12799" width="10.6640625" style="31"/>
    <col min="12800" max="12800" width="13.1640625" style="31" customWidth="1"/>
    <col min="12801" max="12801" width="79" style="31" customWidth="1"/>
    <col min="12802" max="12802" width="3.83203125" style="31" customWidth="1"/>
    <col min="12803" max="12815" width="12.5" style="31" customWidth="1"/>
    <col min="12816" max="12816" width="8.5" style="31" customWidth="1"/>
    <col min="12817" max="13055" width="10.6640625" style="31"/>
    <col min="13056" max="13056" width="13.1640625" style="31" customWidth="1"/>
    <col min="13057" max="13057" width="79" style="31" customWidth="1"/>
    <col min="13058" max="13058" width="3.83203125" style="31" customWidth="1"/>
    <col min="13059" max="13071" width="12.5" style="31" customWidth="1"/>
    <col min="13072" max="13072" width="8.5" style="31" customWidth="1"/>
    <col min="13073" max="13311" width="10.6640625" style="31"/>
    <col min="13312" max="13312" width="13.1640625" style="31" customWidth="1"/>
    <col min="13313" max="13313" width="79" style="31" customWidth="1"/>
    <col min="13314" max="13314" width="3.83203125" style="31" customWidth="1"/>
    <col min="13315" max="13327" width="12.5" style="31" customWidth="1"/>
    <col min="13328" max="13328" width="8.5" style="31" customWidth="1"/>
    <col min="13329" max="13567" width="10.6640625" style="31"/>
    <col min="13568" max="13568" width="13.1640625" style="31" customWidth="1"/>
    <col min="13569" max="13569" width="79" style="31" customWidth="1"/>
    <col min="13570" max="13570" width="3.83203125" style="31" customWidth="1"/>
    <col min="13571" max="13583" width="12.5" style="31" customWidth="1"/>
    <col min="13584" max="13584" width="8.5" style="31" customWidth="1"/>
    <col min="13585" max="13823" width="10.6640625" style="31"/>
    <col min="13824" max="13824" width="13.1640625" style="31" customWidth="1"/>
    <col min="13825" max="13825" width="79" style="31" customWidth="1"/>
    <col min="13826" max="13826" width="3.83203125" style="31" customWidth="1"/>
    <col min="13827" max="13839" width="12.5" style="31" customWidth="1"/>
    <col min="13840" max="13840" width="8.5" style="31" customWidth="1"/>
    <col min="13841" max="14079" width="10.6640625" style="31"/>
    <col min="14080" max="14080" width="13.1640625" style="31" customWidth="1"/>
    <col min="14081" max="14081" width="79" style="31" customWidth="1"/>
    <col min="14082" max="14082" width="3.83203125" style="31" customWidth="1"/>
    <col min="14083" max="14095" width="12.5" style="31" customWidth="1"/>
    <col min="14096" max="14096" width="8.5" style="31" customWidth="1"/>
    <col min="14097" max="14335" width="10.6640625" style="31"/>
    <col min="14336" max="14336" width="13.1640625" style="31" customWidth="1"/>
    <col min="14337" max="14337" width="79" style="31" customWidth="1"/>
    <col min="14338" max="14338" width="3.83203125" style="31" customWidth="1"/>
    <col min="14339" max="14351" width="12.5" style="31" customWidth="1"/>
    <col min="14352" max="14352" width="8.5" style="31" customWidth="1"/>
    <col min="14353" max="14591" width="10.6640625" style="31"/>
    <col min="14592" max="14592" width="13.1640625" style="31" customWidth="1"/>
    <col min="14593" max="14593" width="79" style="31" customWidth="1"/>
    <col min="14594" max="14594" width="3.83203125" style="31" customWidth="1"/>
    <col min="14595" max="14607" width="12.5" style="31" customWidth="1"/>
    <col min="14608" max="14608" width="8.5" style="31" customWidth="1"/>
    <col min="14609" max="14847" width="10.6640625" style="31"/>
    <col min="14848" max="14848" width="13.1640625" style="31" customWidth="1"/>
    <col min="14849" max="14849" width="79" style="31" customWidth="1"/>
    <col min="14850" max="14850" width="3.83203125" style="31" customWidth="1"/>
    <col min="14851" max="14863" width="12.5" style="31" customWidth="1"/>
    <col min="14864" max="14864" width="8.5" style="31" customWidth="1"/>
    <col min="14865" max="15103" width="10.6640625" style="31"/>
    <col min="15104" max="15104" width="13.1640625" style="31" customWidth="1"/>
    <col min="15105" max="15105" width="79" style="31" customWidth="1"/>
    <col min="15106" max="15106" width="3.83203125" style="31" customWidth="1"/>
    <col min="15107" max="15119" width="12.5" style="31" customWidth="1"/>
    <col min="15120" max="15120" width="8.5" style="31" customWidth="1"/>
    <col min="15121" max="15359" width="10.6640625" style="31"/>
    <col min="15360" max="15360" width="13.1640625" style="31" customWidth="1"/>
    <col min="15361" max="15361" width="79" style="31" customWidth="1"/>
    <col min="15362" max="15362" width="3.83203125" style="31" customWidth="1"/>
    <col min="15363" max="15375" width="12.5" style="31" customWidth="1"/>
    <col min="15376" max="15376" width="8.5" style="31" customWidth="1"/>
    <col min="15377" max="15615" width="10.6640625" style="31"/>
    <col min="15616" max="15616" width="13.1640625" style="31" customWidth="1"/>
    <col min="15617" max="15617" width="79" style="31" customWidth="1"/>
    <col min="15618" max="15618" width="3.83203125" style="31" customWidth="1"/>
    <col min="15619" max="15631" width="12.5" style="31" customWidth="1"/>
    <col min="15632" max="15632" width="8.5" style="31" customWidth="1"/>
    <col min="15633" max="15871" width="10.6640625" style="31"/>
    <col min="15872" max="15872" width="13.1640625" style="31" customWidth="1"/>
    <col min="15873" max="15873" width="79" style="31" customWidth="1"/>
    <col min="15874" max="15874" width="3.83203125" style="31" customWidth="1"/>
    <col min="15875" max="15887" width="12.5" style="31" customWidth="1"/>
    <col min="15888" max="15888" width="8.5" style="31" customWidth="1"/>
    <col min="15889" max="16127" width="10.6640625" style="31"/>
    <col min="16128" max="16128" width="13.1640625" style="31" customWidth="1"/>
    <col min="16129" max="16129" width="79" style="31" customWidth="1"/>
    <col min="16130" max="16130" width="3.83203125" style="31" customWidth="1"/>
    <col min="16131" max="16143" width="12.5" style="31" customWidth="1"/>
    <col min="16144" max="16144" width="8.5" style="31" customWidth="1"/>
    <col min="16145" max="16384" width="10.6640625" style="31"/>
  </cols>
  <sheetData>
    <row r="1" spans="1:19" ht="13.5" thickBot="1">
      <c r="A1" s="40" t="s">
        <v>80</v>
      </c>
      <c r="B1" s="41">
        <v>3</v>
      </c>
      <c r="C1" s="42"/>
      <c r="D1" s="43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</row>
    <row r="2" spans="1:19" ht="13.5" thickTop="1">
      <c r="A2" s="45" t="str">
        <f>CONCATENATE($B$1,"|",B2)</f>
        <v>3|1</v>
      </c>
      <c r="B2" s="46">
        <v>1</v>
      </c>
      <c r="C2" s="47" t="s">
        <v>494</v>
      </c>
      <c r="D2" s="48">
        <v>1</v>
      </c>
      <c r="E2" s="49">
        <v>50</v>
      </c>
      <c r="F2" s="49">
        <v>50</v>
      </c>
      <c r="G2" s="49"/>
      <c r="H2" s="49"/>
      <c r="I2" s="49"/>
      <c r="J2" s="50"/>
      <c r="K2" s="50"/>
      <c r="L2" s="50"/>
      <c r="M2" s="50"/>
      <c r="N2" s="50"/>
      <c r="O2" s="50"/>
      <c r="P2" s="50"/>
      <c r="S2" s="31">
        <f>SUM(E2:P2)</f>
        <v>100</v>
      </c>
    </row>
    <row r="3" spans="1:19">
      <c r="A3" s="51" t="str">
        <f t="shared" ref="A3:A12" si="0">CONCATENATE($B$1,"|",B3)</f>
        <v>3|2</v>
      </c>
      <c r="B3" s="52" t="s">
        <v>189</v>
      </c>
      <c r="C3" s="47" t="s">
        <v>490</v>
      </c>
      <c r="D3" s="48">
        <v>2</v>
      </c>
      <c r="E3" s="49">
        <v>50</v>
      </c>
      <c r="F3" s="49">
        <v>50</v>
      </c>
      <c r="G3" s="49"/>
      <c r="H3" s="49"/>
      <c r="I3" s="49"/>
      <c r="J3" s="53"/>
      <c r="K3" s="53"/>
      <c r="L3" s="53"/>
      <c r="M3" s="53"/>
      <c r="N3" s="53"/>
      <c r="O3" s="53"/>
      <c r="P3" s="53"/>
      <c r="S3" s="31">
        <f t="shared" ref="S3:S12" si="1">SUM(E3:P3)</f>
        <v>100</v>
      </c>
    </row>
    <row r="4" spans="1:19">
      <c r="A4" s="51" t="str">
        <f t="shared" si="0"/>
        <v>3|3</v>
      </c>
      <c r="B4" s="52" t="s">
        <v>213</v>
      </c>
      <c r="C4" s="47" t="s">
        <v>496</v>
      </c>
      <c r="D4" s="48">
        <v>3</v>
      </c>
      <c r="E4" s="54">
        <v>25</v>
      </c>
      <c r="F4" s="54">
        <v>60</v>
      </c>
      <c r="G4" s="54">
        <v>15</v>
      </c>
      <c r="H4" s="54"/>
      <c r="I4" s="54"/>
      <c r="J4" s="53"/>
      <c r="K4" s="53"/>
      <c r="L4" s="53"/>
      <c r="M4" s="53"/>
      <c r="N4" s="53"/>
      <c r="O4" s="53"/>
      <c r="P4" s="53"/>
      <c r="S4" s="31">
        <f t="shared" si="1"/>
        <v>100</v>
      </c>
    </row>
    <row r="5" spans="1:19">
      <c r="A5" s="51" t="str">
        <f t="shared" si="0"/>
        <v>3|4</v>
      </c>
      <c r="B5" s="52" t="s">
        <v>231</v>
      </c>
      <c r="C5" s="47" t="s">
        <v>491</v>
      </c>
      <c r="D5" s="48">
        <v>4</v>
      </c>
      <c r="E5" s="54"/>
      <c r="F5" s="54">
        <v>50</v>
      </c>
      <c r="G5" s="54">
        <v>50</v>
      </c>
      <c r="H5" s="54"/>
      <c r="I5" s="54"/>
      <c r="J5" s="53"/>
      <c r="K5" s="53"/>
      <c r="L5" s="53"/>
      <c r="M5" s="53"/>
      <c r="N5" s="53"/>
      <c r="O5" s="53"/>
      <c r="P5" s="53"/>
      <c r="S5" s="31">
        <f t="shared" si="1"/>
        <v>100</v>
      </c>
    </row>
    <row r="6" spans="1:19">
      <c r="A6" s="51" t="str">
        <f t="shared" si="0"/>
        <v>3|5</v>
      </c>
      <c r="B6" s="52" t="s">
        <v>188</v>
      </c>
      <c r="C6" s="47" t="s">
        <v>492</v>
      </c>
      <c r="D6" s="48">
        <v>5</v>
      </c>
      <c r="E6" s="54">
        <v>20</v>
      </c>
      <c r="F6" s="54">
        <v>50</v>
      </c>
      <c r="G6" s="54">
        <v>30</v>
      </c>
      <c r="H6" s="54"/>
      <c r="I6" s="54"/>
      <c r="J6" s="53"/>
      <c r="K6" s="53"/>
      <c r="L6" s="53"/>
      <c r="M6" s="53"/>
      <c r="N6" s="53"/>
      <c r="O6" s="53"/>
      <c r="P6" s="53"/>
      <c r="S6" s="31">
        <f t="shared" si="1"/>
        <v>100</v>
      </c>
    </row>
    <row r="7" spans="1:19">
      <c r="A7" s="51" t="str">
        <f t="shared" si="0"/>
        <v>3|6</v>
      </c>
      <c r="B7" s="52" t="s">
        <v>233</v>
      </c>
      <c r="C7" s="47" t="s">
        <v>498</v>
      </c>
      <c r="D7" s="48">
        <v>3</v>
      </c>
      <c r="E7" s="54"/>
      <c r="F7" s="54">
        <v>50</v>
      </c>
      <c r="G7" s="54">
        <v>50</v>
      </c>
      <c r="H7" s="54"/>
      <c r="I7" s="54"/>
      <c r="J7" s="53"/>
      <c r="K7" s="53"/>
      <c r="L7" s="53"/>
      <c r="M7" s="53"/>
      <c r="N7" s="53"/>
      <c r="O7" s="53"/>
      <c r="P7" s="53"/>
      <c r="S7" s="31">
        <f t="shared" si="1"/>
        <v>100</v>
      </c>
    </row>
    <row r="8" spans="1:19">
      <c r="A8" s="51" t="str">
        <f t="shared" si="0"/>
        <v>3|7</v>
      </c>
      <c r="B8" s="52" t="s">
        <v>471</v>
      </c>
      <c r="C8" s="47" t="s">
        <v>499</v>
      </c>
      <c r="D8" s="48">
        <v>5</v>
      </c>
      <c r="E8" s="54"/>
      <c r="F8" s="54">
        <v>20</v>
      </c>
      <c r="G8" s="54">
        <v>80</v>
      </c>
      <c r="H8" s="54"/>
      <c r="I8" s="54"/>
      <c r="J8" s="53"/>
      <c r="K8" s="53"/>
      <c r="L8" s="53"/>
      <c r="M8" s="53"/>
      <c r="N8" s="53"/>
      <c r="O8" s="53"/>
      <c r="P8" s="53"/>
      <c r="S8" s="31">
        <f t="shared" si="1"/>
        <v>100</v>
      </c>
    </row>
    <row r="9" spans="1:19">
      <c r="A9" s="51" t="str">
        <f t="shared" si="0"/>
        <v>3|8</v>
      </c>
      <c r="B9" s="52" t="s">
        <v>338</v>
      </c>
      <c r="C9" s="47" t="s">
        <v>501</v>
      </c>
      <c r="D9" s="48">
        <v>6</v>
      </c>
      <c r="E9" s="54"/>
      <c r="F9" s="54">
        <v>50</v>
      </c>
      <c r="G9" s="54">
        <v>50</v>
      </c>
      <c r="H9" s="54"/>
      <c r="I9" s="54"/>
      <c r="J9" s="53"/>
      <c r="K9" s="53"/>
      <c r="L9" s="53"/>
      <c r="M9" s="53"/>
      <c r="N9" s="53"/>
      <c r="O9" s="53"/>
      <c r="P9" s="53"/>
      <c r="S9" s="31">
        <f t="shared" si="1"/>
        <v>100</v>
      </c>
    </row>
    <row r="10" spans="1:19">
      <c r="A10" s="51" t="str">
        <f t="shared" si="0"/>
        <v>3|9</v>
      </c>
      <c r="B10" s="52" t="s">
        <v>502</v>
      </c>
      <c r="C10" s="47" t="s">
        <v>503</v>
      </c>
      <c r="D10" s="48">
        <v>6</v>
      </c>
      <c r="E10" s="54">
        <v>30</v>
      </c>
      <c r="F10" s="54">
        <v>40</v>
      </c>
      <c r="G10" s="54">
        <v>30</v>
      </c>
      <c r="H10" s="54"/>
      <c r="I10" s="54"/>
      <c r="J10" s="53"/>
      <c r="K10" s="53"/>
      <c r="L10" s="53"/>
      <c r="M10" s="53"/>
      <c r="N10" s="53"/>
      <c r="O10" s="53"/>
      <c r="P10" s="53"/>
      <c r="S10" s="31">
        <f t="shared" si="1"/>
        <v>100</v>
      </c>
    </row>
    <row r="11" spans="1:19">
      <c r="A11" s="51" t="str">
        <f t="shared" si="0"/>
        <v>3|10</v>
      </c>
      <c r="B11" s="52" t="s">
        <v>504</v>
      </c>
      <c r="C11" s="47" t="s">
        <v>493</v>
      </c>
      <c r="D11" s="48"/>
      <c r="E11" s="54">
        <v>60</v>
      </c>
      <c r="F11" s="54">
        <v>40</v>
      </c>
      <c r="G11" s="54"/>
      <c r="H11" s="54"/>
      <c r="I11" s="54"/>
      <c r="J11" s="53"/>
      <c r="K11" s="53"/>
      <c r="L11" s="53"/>
      <c r="M11" s="53"/>
      <c r="N11" s="53"/>
      <c r="O11" s="53"/>
      <c r="P11" s="53"/>
      <c r="S11" s="31">
        <f t="shared" si="1"/>
        <v>100</v>
      </c>
    </row>
    <row r="12" spans="1:19">
      <c r="A12" s="51" t="str">
        <f t="shared" si="0"/>
        <v>3|11</v>
      </c>
      <c r="B12" s="52" t="s">
        <v>758</v>
      </c>
      <c r="C12" s="47" t="s">
        <v>796</v>
      </c>
      <c r="D12" s="48"/>
      <c r="E12" s="54">
        <v>15</v>
      </c>
      <c r="F12" s="54">
        <v>60</v>
      </c>
      <c r="G12" s="54">
        <v>25</v>
      </c>
      <c r="H12" s="54"/>
      <c r="I12" s="54"/>
      <c r="J12" s="53"/>
      <c r="K12" s="53"/>
      <c r="L12" s="53"/>
      <c r="M12" s="53"/>
      <c r="N12" s="53"/>
      <c r="O12" s="53"/>
      <c r="P12" s="53"/>
      <c r="S12" s="31">
        <f t="shared" si="1"/>
        <v>100</v>
      </c>
    </row>
    <row r="13" spans="1:19" ht="5.45" customHeight="1"/>
    <row r="14" spans="1:19" ht="13.5" thickBot="1">
      <c r="A14" s="55" t="s">
        <v>80</v>
      </c>
      <c r="B14" s="56">
        <v>4</v>
      </c>
      <c r="C14" s="57"/>
      <c r="D14" s="58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</row>
    <row r="15" spans="1:19" ht="13.5" thickTop="1">
      <c r="A15" s="59" t="str">
        <f>CONCATENATE($B$14,"|",B15)</f>
        <v>4|1</v>
      </c>
      <c r="B15" s="46">
        <v>1</v>
      </c>
      <c r="C15" s="47" t="s">
        <v>494</v>
      </c>
      <c r="D15" s="48">
        <v>1</v>
      </c>
      <c r="E15" s="49">
        <v>45</v>
      </c>
      <c r="F15" s="49">
        <v>45</v>
      </c>
      <c r="G15" s="49">
        <v>10</v>
      </c>
      <c r="H15" s="49"/>
      <c r="I15" s="49"/>
      <c r="J15" s="50"/>
      <c r="K15" s="50"/>
      <c r="L15" s="50"/>
      <c r="M15" s="50"/>
      <c r="N15" s="50"/>
      <c r="O15" s="50"/>
      <c r="P15" s="50"/>
      <c r="S15" s="31">
        <f>SUM(E15:P15)</f>
        <v>100</v>
      </c>
    </row>
    <row r="16" spans="1:19">
      <c r="A16" s="51" t="str">
        <f t="shared" ref="A16:A25" si="2">CONCATENATE($B$14,"|",B16)</f>
        <v>4|2</v>
      </c>
      <c r="B16" s="52" t="s">
        <v>189</v>
      </c>
      <c r="C16" s="47" t="s">
        <v>490</v>
      </c>
      <c r="D16" s="48">
        <v>2</v>
      </c>
      <c r="E16" s="49">
        <v>40</v>
      </c>
      <c r="F16" s="49">
        <v>40</v>
      </c>
      <c r="G16" s="49">
        <v>20</v>
      </c>
      <c r="H16" s="49"/>
      <c r="I16" s="49"/>
      <c r="J16" s="53"/>
      <c r="K16" s="53"/>
      <c r="L16" s="53"/>
      <c r="M16" s="53"/>
      <c r="N16" s="53"/>
      <c r="O16" s="53"/>
      <c r="P16" s="53"/>
      <c r="S16" s="31">
        <f t="shared" ref="S16:S25" si="3">SUM(E16:P16)</f>
        <v>100</v>
      </c>
    </row>
    <row r="17" spans="1:19">
      <c r="A17" s="51" t="str">
        <f t="shared" si="2"/>
        <v>4|3</v>
      </c>
      <c r="B17" s="52" t="s">
        <v>213</v>
      </c>
      <c r="C17" s="47" t="s">
        <v>496</v>
      </c>
      <c r="D17" s="48">
        <v>3</v>
      </c>
      <c r="E17" s="54">
        <v>20</v>
      </c>
      <c r="F17" s="54">
        <v>35</v>
      </c>
      <c r="G17" s="54">
        <v>35</v>
      </c>
      <c r="H17" s="54">
        <v>10</v>
      </c>
      <c r="I17" s="54"/>
      <c r="J17" s="53"/>
      <c r="K17" s="53"/>
      <c r="L17" s="53"/>
      <c r="M17" s="53"/>
      <c r="N17" s="53"/>
      <c r="O17" s="53"/>
      <c r="P17" s="53"/>
      <c r="S17" s="31">
        <f t="shared" si="3"/>
        <v>100</v>
      </c>
    </row>
    <row r="18" spans="1:19">
      <c r="A18" s="51" t="str">
        <f t="shared" si="2"/>
        <v>4|4</v>
      </c>
      <c r="B18" s="52" t="s">
        <v>231</v>
      </c>
      <c r="C18" s="47" t="s">
        <v>491</v>
      </c>
      <c r="D18" s="48">
        <v>4</v>
      </c>
      <c r="E18" s="54"/>
      <c r="F18" s="54">
        <v>35</v>
      </c>
      <c r="G18" s="54">
        <v>35</v>
      </c>
      <c r="H18" s="54">
        <v>30</v>
      </c>
      <c r="I18" s="54"/>
      <c r="J18" s="53"/>
      <c r="K18" s="53"/>
      <c r="L18" s="53"/>
      <c r="M18" s="53"/>
      <c r="N18" s="53"/>
      <c r="O18" s="53"/>
      <c r="P18" s="53"/>
      <c r="S18" s="31">
        <f t="shared" si="3"/>
        <v>100</v>
      </c>
    </row>
    <row r="19" spans="1:19">
      <c r="A19" s="51" t="str">
        <f t="shared" si="2"/>
        <v>4|5</v>
      </c>
      <c r="B19" s="52" t="s">
        <v>188</v>
      </c>
      <c r="C19" s="47" t="s">
        <v>492</v>
      </c>
      <c r="D19" s="48">
        <v>5</v>
      </c>
      <c r="E19" s="54">
        <v>10</v>
      </c>
      <c r="F19" s="54">
        <v>35</v>
      </c>
      <c r="G19" s="54">
        <v>35</v>
      </c>
      <c r="H19" s="54">
        <v>20</v>
      </c>
      <c r="I19" s="54"/>
      <c r="J19" s="53"/>
      <c r="K19" s="53"/>
      <c r="L19" s="53"/>
      <c r="M19" s="53"/>
      <c r="N19" s="53"/>
      <c r="O19" s="53"/>
      <c r="P19" s="53"/>
      <c r="S19" s="31">
        <f t="shared" si="3"/>
        <v>100</v>
      </c>
    </row>
    <row r="20" spans="1:19">
      <c r="A20" s="51" t="str">
        <f t="shared" si="2"/>
        <v>4|6</v>
      </c>
      <c r="B20" s="52" t="s">
        <v>233</v>
      </c>
      <c r="C20" s="47" t="s">
        <v>498</v>
      </c>
      <c r="D20" s="48">
        <v>3</v>
      </c>
      <c r="E20" s="54"/>
      <c r="F20" s="54">
        <v>35</v>
      </c>
      <c r="G20" s="54">
        <v>35</v>
      </c>
      <c r="H20" s="54">
        <v>30</v>
      </c>
      <c r="I20" s="54"/>
      <c r="J20" s="53"/>
      <c r="K20" s="53"/>
      <c r="L20" s="53"/>
      <c r="M20" s="53"/>
      <c r="N20" s="53"/>
      <c r="O20" s="53"/>
      <c r="P20" s="53"/>
      <c r="S20" s="31">
        <f t="shared" si="3"/>
        <v>100</v>
      </c>
    </row>
    <row r="21" spans="1:19">
      <c r="A21" s="51" t="str">
        <f t="shared" si="2"/>
        <v>4|7</v>
      </c>
      <c r="B21" s="52" t="s">
        <v>471</v>
      </c>
      <c r="C21" s="47" t="s">
        <v>499</v>
      </c>
      <c r="D21" s="48">
        <v>5</v>
      </c>
      <c r="E21" s="54"/>
      <c r="F21" s="54">
        <v>15</v>
      </c>
      <c r="G21" s="54">
        <v>60</v>
      </c>
      <c r="H21" s="54">
        <v>25</v>
      </c>
      <c r="I21" s="54"/>
      <c r="J21" s="53"/>
      <c r="K21" s="53"/>
      <c r="L21" s="53"/>
      <c r="M21" s="53"/>
      <c r="N21" s="53"/>
      <c r="O21" s="53"/>
      <c r="P21" s="53"/>
      <c r="S21" s="31">
        <f t="shared" si="3"/>
        <v>100</v>
      </c>
    </row>
    <row r="22" spans="1:19">
      <c r="A22" s="51" t="str">
        <f t="shared" si="2"/>
        <v>4|8</v>
      </c>
      <c r="B22" s="52" t="s">
        <v>338</v>
      </c>
      <c r="C22" s="47" t="s">
        <v>501</v>
      </c>
      <c r="D22" s="48">
        <v>6</v>
      </c>
      <c r="E22" s="54"/>
      <c r="F22" s="54">
        <v>30</v>
      </c>
      <c r="G22" s="54">
        <v>40</v>
      </c>
      <c r="H22" s="54">
        <v>30</v>
      </c>
      <c r="I22" s="54"/>
      <c r="J22" s="53"/>
      <c r="K22" s="53"/>
      <c r="L22" s="53"/>
      <c r="M22" s="53"/>
      <c r="N22" s="53"/>
      <c r="O22" s="53"/>
      <c r="P22" s="53"/>
      <c r="S22" s="31">
        <f t="shared" si="3"/>
        <v>100</v>
      </c>
    </row>
    <row r="23" spans="1:19">
      <c r="A23" s="51" t="str">
        <f t="shared" si="2"/>
        <v>4|9</v>
      </c>
      <c r="B23" s="52" t="s">
        <v>502</v>
      </c>
      <c r="C23" s="47" t="s">
        <v>503</v>
      </c>
      <c r="D23" s="48">
        <v>6</v>
      </c>
      <c r="E23" s="54">
        <v>10</v>
      </c>
      <c r="F23" s="54">
        <v>35</v>
      </c>
      <c r="G23" s="54">
        <v>35</v>
      </c>
      <c r="H23" s="54">
        <v>20</v>
      </c>
      <c r="I23" s="54"/>
      <c r="J23" s="53"/>
      <c r="K23" s="53"/>
      <c r="L23" s="53"/>
      <c r="M23" s="53"/>
      <c r="N23" s="53"/>
      <c r="O23" s="53"/>
      <c r="P23" s="53"/>
      <c r="S23" s="31">
        <f t="shared" si="3"/>
        <v>100</v>
      </c>
    </row>
    <row r="24" spans="1:19">
      <c r="A24" s="51" t="str">
        <f t="shared" si="2"/>
        <v>4|10</v>
      </c>
      <c r="B24" s="52" t="s">
        <v>504</v>
      </c>
      <c r="C24" s="47" t="s">
        <v>493</v>
      </c>
      <c r="D24" s="48"/>
      <c r="E24" s="54">
        <v>40</v>
      </c>
      <c r="F24" s="54">
        <v>40</v>
      </c>
      <c r="G24" s="54">
        <v>20</v>
      </c>
      <c r="H24" s="54"/>
      <c r="I24" s="54"/>
      <c r="J24" s="53"/>
      <c r="K24" s="53"/>
      <c r="L24" s="53"/>
      <c r="M24" s="53"/>
      <c r="N24" s="53"/>
      <c r="O24" s="53"/>
      <c r="P24" s="53"/>
      <c r="S24" s="31">
        <f t="shared" si="3"/>
        <v>100</v>
      </c>
    </row>
    <row r="25" spans="1:19">
      <c r="A25" s="60" t="str">
        <f t="shared" si="2"/>
        <v>4|11</v>
      </c>
      <c r="B25" s="52" t="s">
        <v>758</v>
      </c>
      <c r="C25" s="47" t="s">
        <v>796</v>
      </c>
      <c r="D25" s="48"/>
      <c r="E25" s="54">
        <v>10</v>
      </c>
      <c r="F25" s="54">
        <v>35</v>
      </c>
      <c r="G25" s="54">
        <v>35</v>
      </c>
      <c r="H25" s="54">
        <v>20</v>
      </c>
      <c r="I25" s="54"/>
      <c r="J25" s="53"/>
      <c r="K25" s="53"/>
      <c r="L25" s="53"/>
      <c r="M25" s="53"/>
      <c r="N25" s="53"/>
      <c r="O25" s="53"/>
      <c r="P25" s="53"/>
      <c r="S25" s="31">
        <f t="shared" si="3"/>
        <v>100</v>
      </c>
    </row>
    <row r="26" spans="1:19" ht="5.45" customHeight="1"/>
    <row r="27" spans="1:19" ht="13.5" thickBot="1">
      <c r="A27" s="55" t="s">
        <v>80</v>
      </c>
      <c r="B27" s="56">
        <v>5</v>
      </c>
      <c r="C27" s="57"/>
      <c r="D27" s="58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</row>
    <row r="28" spans="1:19" ht="13.5" thickTop="1">
      <c r="A28" s="59" t="str">
        <f>CONCATENATE($B$27,"|",B28)</f>
        <v>5|1</v>
      </c>
      <c r="B28" s="46">
        <v>1</v>
      </c>
      <c r="C28" s="47" t="s">
        <v>494</v>
      </c>
      <c r="D28" s="48">
        <v>1</v>
      </c>
      <c r="E28" s="49">
        <v>40</v>
      </c>
      <c r="F28" s="49">
        <v>30</v>
      </c>
      <c r="G28" s="49">
        <v>25</v>
      </c>
      <c r="H28" s="49">
        <v>5</v>
      </c>
      <c r="I28" s="49"/>
      <c r="J28" s="50"/>
      <c r="K28" s="50"/>
      <c r="L28" s="50"/>
      <c r="M28" s="50"/>
      <c r="N28" s="50"/>
      <c r="O28" s="50"/>
      <c r="P28" s="50"/>
      <c r="S28" s="31">
        <f>SUM(E28:P28)</f>
        <v>100</v>
      </c>
    </row>
    <row r="29" spans="1:19">
      <c r="A29" s="51" t="str">
        <f t="shared" ref="A29:A38" si="4">CONCATENATE($B$27,"|",B29)</f>
        <v>5|2</v>
      </c>
      <c r="B29" s="52" t="s">
        <v>189</v>
      </c>
      <c r="C29" s="47" t="s">
        <v>490</v>
      </c>
      <c r="D29" s="48">
        <v>2</v>
      </c>
      <c r="E29" s="49">
        <v>30</v>
      </c>
      <c r="F29" s="49">
        <v>30</v>
      </c>
      <c r="G29" s="49">
        <v>30</v>
      </c>
      <c r="H29" s="49">
        <v>10</v>
      </c>
      <c r="I29" s="49"/>
      <c r="J29" s="53"/>
      <c r="K29" s="53"/>
      <c r="L29" s="53"/>
      <c r="M29" s="53"/>
      <c r="N29" s="53"/>
      <c r="O29" s="53"/>
      <c r="P29" s="53"/>
      <c r="S29" s="31">
        <f t="shared" ref="S29:S38" si="5">SUM(E29:P29)</f>
        <v>100</v>
      </c>
    </row>
    <row r="30" spans="1:19">
      <c r="A30" s="51" t="str">
        <f t="shared" si="4"/>
        <v>5|3</v>
      </c>
      <c r="B30" s="52" t="s">
        <v>213</v>
      </c>
      <c r="C30" s="47" t="s">
        <v>496</v>
      </c>
      <c r="D30" s="48">
        <v>3</v>
      </c>
      <c r="E30" s="54">
        <v>10</v>
      </c>
      <c r="F30" s="54">
        <v>30</v>
      </c>
      <c r="G30" s="54">
        <v>30</v>
      </c>
      <c r="H30" s="54">
        <v>25</v>
      </c>
      <c r="I30" s="54">
        <v>5</v>
      </c>
      <c r="J30" s="53"/>
      <c r="K30" s="53"/>
      <c r="L30" s="53"/>
      <c r="M30" s="53"/>
      <c r="N30" s="53"/>
      <c r="O30" s="53"/>
      <c r="P30" s="53"/>
      <c r="S30" s="31">
        <f t="shared" si="5"/>
        <v>100</v>
      </c>
    </row>
    <row r="31" spans="1:19">
      <c r="A31" s="51" t="str">
        <f t="shared" si="4"/>
        <v>5|4</v>
      </c>
      <c r="B31" s="52" t="s">
        <v>231</v>
      </c>
      <c r="C31" s="47" t="s">
        <v>491</v>
      </c>
      <c r="D31" s="48">
        <v>4</v>
      </c>
      <c r="E31" s="54"/>
      <c r="F31" s="54">
        <v>15</v>
      </c>
      <c r="G31" s="54">
        <v>30</v>
      </c>
      <c r="H31" s="54">
        <v>30</v>
      </c>
      <c r="I31" s="54">
        <v>25</v>
      </c>
      <c r="J31" s="53"/>
      <c r="K31" s="53"/>
      <c r="L31" s="53"/>
      <c r="M31" s="53"/>
      <c r="N31" s="53"/>
      <c r="O31" s="53"/>
      <c r="P31" s="53"/>
      <c r="S31" s="31">
        <f t="shared" si="5"/>
        <v>100</v>
      </c>
    </row>
    <row r="32" spans="1:19">
      <c r="A32" s="51" t="str">
        <f t="shared" si="4"/>
        <v>5|5</v>
      </c>
      <c r="B32" s="52" t="s">
        <v>188</v>
      </c>
      <c r="C32" s="47" t="s">
        <v>492</v>
      </c>
      <c r="D32" s="48">
        <v>5</v>
      </c>
      <c r="E32" s="54"/>
      <c r="F32" s="54">
        <v>25</v>
      </c>
      <c r="G32" s="54">
        <v>35</v>
      </c>
      <c r="H32" s="54">
        <v>35</v>
      </c>
      <c r="I32" s="54">
        <v>5</v>
      </c>
      <c r="J32" s="53"/>
      <c r="K32" s="53"/>
      <c r="L32" s="53"/>
      <c r="M32" s="53"/>
      <c r="N32" s="53"/>
      <c r="O32" s="53"/>
      <c r="P32" s="53"/>
      <c r="S32" s="31">
        <f t="shared" si="5"/>
        <v>100</v>
      </c>
    </row>
    <row r="33" spans="1:19">
      <c r="A33" s="51" t="str">
        <f t="shared" si="4"/>
        <v>5|6</v>
      </c>
      <c r="B33" s="52" t="s">
        <v>233</v>
      </c>
      <c r="C33" s="47" t="s">
        <v>498</v>
      </c>
      <c r="D33" s="48">
        <v>3</v>
      </c>
      <c r="E33" s="54"/>
      <c r="F33" s="54">
        <v>5</v>
      </c>
      <c r="G33" s="54">
        <v>40</v>
      </c>
      <c r="H33" s="54">
        <v>30</v>
      </c>
      <c r="I33" s="54">
        <v>25</v>
      </c>
      <c r="J33" s="53"/>
      <c r="K33" s="53"/>
      <c r="L33" s="53"/>
      <c r="M33" s="53"/>
      <c r="N33" s="53"/>
      <c r="O33" s="53"/>
      <c r="P33" s="53"/>
      <c r="S33" s="31">
        <f t="shared" si="5"/>
        <v>100</v>
      </c>
    </row>
    <row r="34" spans="1:19">
      <c r="A34" s="51" t="str">
        <f t="shared" si="4"/>
        <v>5|7</v>
      </c>
      <c r="B34" s="52" t="s">
        <v>471</v>
      </c>
      <c r="C34" s="47" t="s">
        <v>499</v>
      </c>
      <c r="D34" s="48">
        <v>5</v>
      </c>
      <c r="E34" s="54"/>
      <c r="F34" s="54">
        <v>10</v>
      </c>
      <c r="G34" s="54">
        <v>35</v>
      </c>
      <c r="H34" s="54">
        <v>35</v>
      </c>
      <c r="I34" s="54">
        <v>20</v>
      </c>
      <c r="J34" s="53"/>
      <c r="K34" s="53"/>
      <c r="L34" s="53"/>
      <c r="M34" s="53"/>
      <c r="N34" s="53"/>
      <c r="O34" s="53"/>
      <c r="P34" s="53"/>
      <c r="S34" s="31">
        <f t="shared" si="5"/>
        <v>100</v>
      </c>
    </row>
    <row r="35" spans="1:19">
      <c r="A35" s="51" t="str">
        <f t="shared" si="4"/>
        <v>5|8</v>
      </c>
      <c r="B35" s="52" t="s">
        <v>338</v>
      </c>
      <c r="C35" s="47" t="s">
        <v>501</v>
      </c>
      <c r="D35" s="48">
        <v>6</v>
      </c>
      <c r="E35" s="54"/>
      <c r="F35" s="54">
        <v>10</v>
      </c>
      <c r="G35" s="54">
        <v>35</v>
      </c>
      <c r="H35" s="54">
        <v>35</v>
      </c>
      <c r="I35" s="54">
        <v>20</v>
      </c>
      <c r="J35" s="53"/>
      <c r="K35" s="53"/>
      <c r="L35" s="53"/>
      <c r="M35" s="53"/>
      <c r="N35" s="53"/>
      <c r="O35" s="53"/>
      <c r="P35" s="53"/>
      <c r="S35" s="31">
        <f t="shared" si="5"/>
        <v>100</v>
      </c>
    </row>
    <row r="36" spans="1:19">
      <c r="A36" s="51" t="str">
        <f t="shared" si="4"/>
        <v>5|9</v>
      </c>
      <c r="B36" s="52" t="s">
        <v>502</v>
      </c>
      <c r="C36" s="47" t="s">
        <v>503</v>
      </c>
      <c r="D36" s="48">
        <v>6</v>
      </c>
      <c r="E36" s="54">
        <v>5</v>
      </c>
      <c r="F36" s="54">
        <v>25</v>
      </c>
      <c r="G36" s="54">
        <v>25</v>
      </c>
      <c r="H36" s="54">
        <v>25</v>
      </c>
      <c r="I36" s="54">
        <v>20</v>
      </c>
      <c r="J36" s="53"/>
      <c r="K36" s="53"/>
      <c r="L36" s="53"/>
      <c r="M36" s="53"/>
      <c r="N36" s="53"/>
      <c r="O36" s="53"/>
      <c r="P36" s="53"/>
      <c r="S36" s="31">
        <f t="shared" si="5"/>
        <v>100</v>
      </c>
    </row>
    <row r="37" spans="1:19">
      <c r="A37" s="51" t="str">
        <f t="shared" si="4"/>
        <v>5|10</v>
      </c>
      <c r="B37" s="52" t="s">
        <v>504</v>
      </c>
      <c r="C37" s="47" t="s">
        <v>493</v>
      </c>
      <c r="D37" s="48"/>
      <c r="E37" s="54">
        <v>25</v>
      </c>
      <c r="F37" s="54">
        <v>30</v>
      </c>
      <c r="G37" s="54">
        <v>30</v>
      </c>
      <c r="H37" s="54">
        <v>15</v>
      </c>
      <c r="I37" s="54"/>
      <c r="J37" s="53"/>
      <c r="K37" s="53"/>
      <c r="L37" s="53"/>
      <c r="M37" s="53"/>
      <c r="N37" s="53"/>
      <c r="O37" s="53"/>
      <c r="P37" s="53"/>
      <c r="S37" s="31">
        <f t="shared" si="5"/>
        <v>100</v>
      </c>
    </row>
    <row r="38" spans="1:19">
      <c r="A38" s="51" t="str">
        <f t="shared" si="4"/>
        <v>5|11</v>
      </c>
      <c r="B38" s="52" t="s">
        <v>758</v>
      </c>
      <c r="C38" s="47" t="s">
        <v>796</v>
      </c>
      <c r="D38" s="48"/>
      <c r="E38" s="54">
        <v>7</v>
      </c>
      <c r="F38" s="54">
        <v>21</v>
      </c>
      <c r="G38" s="54">
        <v>27</v>
      </c>
      <c r="H38" s="54">
        <v>28</v>
      </c>
      <c r="I38" s="54">
        <v>17</v>
      </c>
      <c r="J38" s="53"/>
      <c r="K38" s="53"/>
      <c r="L38" s="53"/>
      <c r="M38" s="53"/>
      <c r="N38" s="53"/>
      <c r="O38" s="53"/>
      <c r="P38" s="53"/>
      <c r="S38" s="31">
        <f t="shared" si="5"/>
        <v>100</v>
      </c>
    </row>
    <row r="39" spans="1:19" ht="5.45" customHeight="1"/>
    <row r="40" spans="1:19" ht="13.5" thickBot="1">
      <c r="A40" s="55" t="s">
        <v>80</v>
      </c>
      <c r="B40" s="56">
        <v>6</v>
      </c>
      <c r="C40" s="57"/>
      <c r="D40" s="58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1:19" ht="13.5" thickTop="1">
      <c r="A41" s="59" t="str">
        <f>CONCATENATE($B$40,"|",B41)</f>
        <v>6|1</v>
      </c>
      <c r="B41" s="46">
        <v>1</v>
      </c>
      <c r="C41" s="47" t="s">
        <v>494</v>
      </c>
      <c r="D41" s="48">
        <v>1</v>
      </c>
      <c r="E41" s="49">
        <v>20</v>
      </c>
      <c r="F41" s="49">
        <v>30</v>
      </c>
      <c r="G41" s="49">
        <v>30</v>
      </c>
      <c r="H41" s="49">
        <v>20</v>
      </c>
      <c r="I41" s="49"/>
      <c r="J41" s="50"/>
      <c r="K41" s="50"/>
      <c r="L41" s="50"/>
      <c r="M41" s="50"/>
      <c r="N41" s="50"/>
      <c r="O41" s="50"/>
      <c r="P41" s="50"/>
      <c r="S41" s="31">
        <f>SUM(E41:P41)</f>
        <v>100</v>
      </c>
    </row>
    <row r="42" spans="1:19">
      <c r="A42" s="51" t="str">
        <f>CONCATENATE($B$40,"|",B42)</f>
        <v>6|2</v>
      </c>
      <c r="B42" s="52" t="s">
        <v>189</v>
      </c>
      <c r="C42" s="47" t="s">
        <v>490</v>
      </c>
      <c r="D42" s="48">
        <v>2</v>
      </c>
      <c r="E42" s="49">
        <v>15</v>
      </c>
      <c r="F42" s="49">
        <v>25</v>
      </c>
      <c r="G42" s="49">
        <v>30</v>
      </c>
      <c r="H42" s="49">
        <v>25</v>
      </c>
      <c r="I42" s="49">
        <v>5</v>
      </c>
      <c r="J42" s="53"/>
      <c r="K42" s="53"/>
      <c r="L42" s="53"/>
      <c r="M42" s="53"/>
      <c r="N42" s="53"/>
      <c r="O42" s="53"/>
      <c r="P42" s="53"/>
      <c r="S42" s="31">
        <f t="shared" ref="S42:S51" si="6">SUM(E42:P42)</f>
        <v>100</v>
      </c>
    </row>
    <row r="43" spans="1:19">
      <c r="A43" s="51" t="str">
        <f t="shared" ref="A43:A51" si="7">CONCATENATE($B$40,"|",B43)</f>
        <v>6|3</v>
      </c>
      <c r="B43" s="52" t="s">
        <v>213</v>
      </c>
      <c r="C43" s="47" t="s">
        <v>496</v>
      </c>
      <c r="D43" s="48">
        <v>3</v>
      </c>
      <c r="E43" s="54">
        <v>5</v>
      </c>
      <c r="F43" s="54">
        <v>20</v>
      </c>
      <c r="G43" s="54">
        <v>30</v>
      </c>
      <c r="H43" s="54">
        <v>25</v>
      </c>
      <c r="I43" s="54">
        <v>20</v>
      </c>
      <c r="J43" s="53"/>
      <c r="K43" s="53"/>
      <c r="L43" s="53"/>
      <c r="M43" s="53"/>
      <c r="N43" s="53"/>
      <c r="O43" s="53"/>
      <c r="P43" s="53"/>
      <c r="S43" s="31">
        <f t="shared" si="6"/>
        <v>100</v>
      </c>
    </row>
    <row r="44" spans="1:19">
      <c r="A44" s="51" t="str">
        <f t="shared" si="7"/>
        <v>6|4</v>
      </c>
      <c r="B44" s="52" t="s">
        <v>231</v>
      </c>
      <c r="C44" s="47" t="s">
        <v>491</v>
      </c>
      <c r="D44" s="48">
        <v>4</v>
      </c>
      <c r="E44" s="54"/>
      <c r="F44" s="54">
        <v>5</v>
      </c>
      <c r="G44" s="54">
        <v>20</v>
      </c>
      <c r="H44" s="54">
        <v>30</v>
      </c>
      <c r="I44" s="54">
        <v>25</v>
      </c>
      <c r="J44" s="53">
        <v>20</v>
      </c>
      <c r="K44" s="53"/>
      <c r="L44" s="53"/>
      <c r="M44" s="53"/>
      <c r="N44" s="53"/>
      <c r="O44" s="53"/>
      <c r="P44" s="53"/>
      <c r="S44" s="31">
        <f t="shared" si="6"/>
        <v>100</v>
      </c>
    </row>
    <row r="45" spans="1:19">
      <c r="A45" s="51" t="str">
        <f t="shared" si="7"/>
        <v>6|5</v>
      </c>
      <c r="B45" s="52" t="s">
        <v>188</v>
      </c>
      <c r="C45" s="47" t="s">
        <v>492</v>
      </c>
      <c r="D45" s="48">
        <v>5</v>
      </c>
      <c r="E45" s="54"/>
      <c r="F45" s="54">
        <v>15</v>
      </c>
      <c r="G45" s="54">
        <v>30</v>
      </c>
      <c r="H45" s="54">
        <v>30</v>
      </c>
      <c r="I45" s="54">
        <v>25</v>
      </c>
      <c r="J45" s="53"/>
      <c r="K45" s="53"/>
      <c r="L45" s="53"/>
      <c r="M45" s="53"/>
      <c r="N45" s="53"/>
      <c r="O45" s="53"/>
      <c r="P45" s="53"/>
      <c r="S45" s="31">
        <f t="shared" si="6"/>
        <v>100</v>
      </c>
    </row>
    <row r="46" spans="1:19">
      <c r="A46" s="51" t="str">
        <f t="shared" si="7"/>
        <v>6|6</v>
      </c>
      <c r="B46" s="52" t="s">
        <v>233</v>
      </c>
      <c r="C46" s="47" t="s">
        <v>498</v>
      </c>
      <c r="D46" s="48">
        <v>3</v>
      </c>
      <c r="E46" s="54"/>
      <c r="F46" s="54">
        <v>5</v>
      </c>
      <c r="G46" s="54">
        <v>10</v>
      </c>
      <c r="H46" s="54">
        <v>30</v>
      </c>
      <c r="I46" s="54">
        <v>30</v>
      </c>
      <c r="J46" s="53">
        <v>25</v>
      </c>
      <c r="K46" s="53"/>
      <c r="L46" s="53"/>
      <c r="M46" s="53"/>
      <c r="N46" s="53"/>
      <c r="O46" s="53"/>
      <c r="P46" s="53"/>
      <c r="S46" s="31">
        <f t="shared" si="6"/>
        <v>100</v>
      </c>
    </row>
    <row r="47" spans="1:19">
      <c r="A47" s="51" t="str">
        <f t="shared" si="7"/>
        <v>6|7</v>
      </c>
      <c r="B47" s="52" t="s">
        <v>471</v>
      </c>
      <c r="C47" s="47" t="s">
        <v>499</v>
      </c>
      <c r="D47" s="48">
        <v>5</v>
      </c>
      <c r="E47" s="54"/>
      <c r="F47" s="54"/>
      <c r="G47" s="54">
        <v>20</v>
      </c>
      <c r="H47" s="54">
        <v>20</v>
      </c>
      <c r="I47" s="54">
        <v>30</v>
      </c>
      <c r="J47" s="53">
        <v>30</v>
      </c>
      <c r="K47" s="53"/>
      <c r="L47" s="53"/>
      <c r="M47" s="53"/>
      <c r="N47" s="53"/>
      <c r="O47" s="53"/>
      <c r="P47" s="53"/>
      <c r="S47" s="31">
        <f t="shared" si="6"/>
        <v>100</v>
      </c>
    </row>
    <row r="48" spans="1:19">
      <c r="A48" s="51" t="str">
        <f t="shared" si="7"/>
        <v>6|8</v>
      </c>
      <c r="B48" s="52" t="s">
        <v>338</v>
      </c>
      <c r="C48" s="47" t="s">
        <v>501</v>
      </c>
      <c r="D48" s="48">
        <v>6</v>
      </c>
      <c r="E48" s="54"/>
      <c r="F48" s="54"/>
      <c r="G48" s="54">
        <v>20</v>
      </c>
      <c r="H48" s="54">
        <v>30</v>
      </c>
      <c r="I48" s="54">
        <v>30</v>
      </c>
      <c r="J48" s="53">
        <v>20</v>
      </c>
      <c r="K48" s="53"/>
      <c r="L48" s="53"/>
      <c r="M48" s="53"/>
      <c r="N48" s="53"/>
      <c r="O48" s="53"/>
      <c r="P48" s="53"/>
      <c r="S48" s="31">
        <f t="shared" si="6"/>
        <v>100</v>
      </c>
    </row>
    <row r="49" spans="1:19">
      <c r="A49" s="51" t="str">
        <f t="shared" si="7"/>
        <v>6|9</v>
      </c>
      <c r="B49" s="52" t="s">
        <v>502</v>
      </c>
      <c r="C49" s="47" t="s">
        <v>503</v>
      </c>
      <c r="D49" s="48">
        <v>6</v>
      </c>
      <c r="E49" s="54">
        <v>5</v>
      </c>
      <c r="F49" s="54">
        <v>15</v>
      </c>
      <c r="G49" s="54">
        <v>25</v>
      </c>
      <c r="H49" s="54">
        <v>25</v>
      </c>
      <c r="I49" s="54">
        <v>20</v>
      </c>
      <c r="J49" s="53">
        <v>10</v>
      </c>
      <c r="K49" s="53"/>
      <c r="L49" s="53"/>
      <c r="M49" s="53"/>
      <c r="N49" s="53"/>
      <c r="O49" s="53"/>
      <c r="P49" s="53"/>
      <c r="S49" s="31">
        <f t="shared" si="6"/>
        <v>100</v>
      </c>
    </row>
    <row r="50" spans="1:19">
      <c r="A50" s="51" t="str">
        <f t="shared" si="7"/>
        <v>6|10</v>
      </c>
      <c r="B50" s="52" t="s">
        <v>504</v>
      </c>
      <c r="C50" s="47" t="s">
        <v>493</v>
      </c>
      <c r="D50" s="48"/>
      <c r="E50" s="54">
        <v>20</v>
      </c>
      <c r="F50" s="54">
        <v>30</v>
      </c>
      <c r="G50" s="54">
        <v>30</v>
      </c>
      <c r="H50" s="54">
        <v>15</v>
      </c>
      <c r="I50" s="54">
        <v>5</v>
      </c>
      <c r="J50" s="53"/>
      <c r="K50" s="53"/>
      <c r="L50" s="53"/>
      <c r="M50" s="53"/>
      <c r="N50" s="53"/>
      <c r="O50" s="53"/>
      <c r="P50" s="53"/>
      <c r="S50" s="31">
        <f t="shared" si="6"/>
        <v>100</v>
      </c>
    </row>
    <row r="51" spans="1:19">
      <c r="A51" s="51" t="str">
        <f t="shared" si="7"/>
        <v>6|11</v>
      </c>
      <c r="B51" s="52" t="s">
        <v>758</v>
      </c>
      <c r="C51" s="47" t="s">
        <v>796</v>
      </c>
      <c r="D51" s="48"/>
      <c r="E51" s="54">
        <v>3</v>
      </c>
      <c r="F51" s="54">
        <v>12</v>
      </c>
      <c r="G51" s="54">
        <v>25</v>
      </c>
      <c r="H51" s="54">
        <v>28</v>
      </c>
      <c r="I51" s="54">
        <v>21</v>
      </c>
      <c r="J51" s="53">
        <v>11</v>
      </c>
      <c r="K51" s="53"/>
      <c r="L51" s="53"/>
      <c r="M51" s="53"/>
      <c r="N51" s="53"/>
      <c r="O51" s="53"/>
      <c r="P51" s="53"/>
      <c r="S51" s="31">
        <f t="shared" si="6"/>
        <v>100</v>
      </c>
    </row>
    <row r="52" spans="1:19" ht="5.45" customHeight="1"/>
    <row r="53" spans="1:19" ht="13.5" thickBot="1">
      <c r="A53" s="55" t="s">
        <v>80</v>
      </c>
      <c r="B53" s="56">
        <v>7</v>
      </c>
      <c r="C53" s="57"/>
      <c r="D53" s="58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1:19" ht="13.5" thickTop="1">
      <c r="A54" s="59" t="str">
        <f>CONCATENATE($B$53,"|",B54)</f>
        <v>7|1</v>
      </c>
      <c r="B54" s="46">
        <v>1</v>
      </c>
      <c r="C54" s="47" t="s">
        <v>494</v>
      </c>
      <c r="D54" s="48">
        <v>1</v>
      </c>
      <c r="E54" s="49">
        <v>15</v>
      </c>
      <c r="F54" s="49">
        <v>30</v>
      </c>
      <c r="G54" s="49">
        <v>30</v>
      </c>
      <c r="H54" s="49">
        <v>20</v>
      </c>
      <c r="I54" s="49">
        <v>5</v>
      </c>
      <c r="J54" s="50"/>
      <c r="K54" s="50"/>
      <c r="L54" s="50"/>
      <c r="M54" s="50"/>
      <c r="N54" s="50"/>
      <c r="O54" s="50"/>
      <c r="P54" s="50"/>
      <c r="S54" s="31">
        <f>SUM(E54:P54)</f>
        <v>100</v>
      </c>
    </row>
    <row r="55" spans="1:19">
      <c r="A55" s="51" t="str">
        <f>CONCATENATE($B$53,"|",B55)</f>
        <v>7|2</v>
      </c>
      <c r="B55" s="52" t="s">
        <v>189</v>
      </c>
      <c r="C55" s="47" t="s">
        <v>490</v>
      </c>
      <c r="D55" s="48">
        <v>2</v>
      </c>
      <c r="E55" s="49">
        <v>15</v>
      </c>
      <c r="F55" s="49">
        <v>20</v>
      </c>
      <c r="G55" s="49">
        <v>25</v>
      </c>
      <c r="H55" s="49">
        <v>25</v>
      </c>
      <c r="I55" s="49">
        <v>15</v>
      </c>
      <c r="J55" s="53"/>
      <c r="K55" s="53"/>
      <c r="L55" s="53"/>
      <c r="M55" s="53"/>
      <c r="N55" s="53"/>
      <c r="O55" s="53"/>
      <c r="P55" s="53"/>
      <c r="S55" s="31">
        <f t="shared" ref="S55:S64" si="8">SUM(E55:P55)</f>
        <v>100</v>
      </c>
    </row>
    <row r="56" spans="1:19">
      <c r="A56" s="51" t="str">
        <f t="shared" ref="A56:A64" si="9">CONCATENATE($B$53,"|",B56)</f>
        <v>7|3</v>
      </c>
      <c r="B56" s="52" t="s">
        <v>213</v>
      </c>
      <c r="C56" s="47" t="s">
        <v>496</v>
      </c>
      <c r="D56" s="48">
        <v>3</v>
      </c>
      <c r="E56" s="54">
        <v>5</v>
      </c>
      <c r="F56" s="54">
        <v>15</v>
      </c>
      <c r="G56" s="54">
        <v>20</v>
      </c>
      <c r="H56" s="54">
        <v>25</v>
      </c>
      <c r="I56" s="54">
        <v>20</v>
      </c>
      <c r="J56" s="53">
        <v>15</v>
      </c>
      <c r="K56" s="53"/>
      <c r="L56" s="53"/>
      <c r="M56" s="53"/>
      <c r="N56" s="53"/>
      <c r="O56" s="53"/>
      <c r="P56" s="53"/>
      <c r="S56" s="31">
        <f t="shared" si="8"/>
        <v>100</v>
      </c>
    </row>
    <row r="57" spans="1:19">
      <c r="A57" s="51" t="str">
        <f t="shared" si="9"/>
        <v>7|4</v>
      </c>
      <c r="B57" s="52" t="s">
        <v>231</v>
      </c>
      <c r="C57" s="47" t="s">
        <v>491</v>
      </c>
      <c r="D57" s="48">
        <v>4</v>
      </c>
      <c r="E57" s="54"/>
      <c r="F57" s="54"/>
      <c r="G57" s="54">
        <v>15</v>
      </c>
      <c r="H57" s="54">
        <v>25</v>
      </c>
      <c r="I57" s="54">
        <v>25</v>
      </c>
      <c r="J57" s="53">
        <v>25</v>
      </c>
      <c r="K57" s="53">
        <v>10</v>
      </c>
      <c r="L57" s="53"/>
      <c r="M57" s="53"/>
      <c r="N57" s="53"/>
      <c r="O57" s="53"/>
      <c r="P57" s="53"/>
      <c r="S57" s="31">
        <f t="shared" si="8"/>
        <v>100</v>
      </c>
    </row>
    <row r="58" spans="1:19">
      <c r="A58" s="51" t="str">
        <f t="shared" si="9"/>
        <v>7|5</v>
      </c>
      <c r="B58" s="52" t="s">
        <v>188</v>
      </c>
      <c r="C58" s="47" t="s">
        <v>492</v>
      </c>
      <c r="D58" s="48">
        <v>5</v>
      </c>
      <c r="E58" s="54"/>
      <c r="F58" s="54">
        <v>10</v>
      </c>
      <c r="G58" s="54">
        <v>15</v>
      </c>
      <c r="H58" s="54">
        <v>30</v>
      </c>
      <c r="I58" s="54">
        <v>30</v>
      </c>
      <c r="J58" s="53">
        <v>15</v>
      </c>
      <c r="K58" s="53"/>
      <c r="L58" s="53"/>
      <c r="M58" s="53"/>
      <c r="N58" s="53"/>
      <c r="O58" s="53"/>
      <c r="P58" s="53"/>
      <c r="S58" s="31">
        <f t="shared" si="8"/>
        <v>100</v>
      </c>
    </row>
    <row r="59" spans="1:19">
      <c r="A59" s="51" t="str">
        <f t="shared" si="9"/>
        <v>7|6</v>
      </c>
      <c r="B59" s="52" t="s">
        <v>233</v>
      </c>
      <c r="C59" s="47" t="s">
        <v>498</v>
      </c>
      <c r="D59" s="48">
        <v>3</v>
      </c>
      <c r="E59" s="54"/>
      <c r="F59" s="54">
        <v>5</v>
      </c>
      <c r="G59" s="54">
        <v>10</v>
      </c>
      <c r="H59" s="54">
        <v>25</v>
      </c>
      <c r="I59" s="54">
        <v>25</v>
      </c>
      <c r="J59" s="53">
        <v>20</v>
      </c>
      <c r="K59" s="53">
        <v>15</v>
      </c>
      <c r="L59" s="53"/>
      <c r="M59" s="53"/>
      <c r="N59" s="53"/>
      <c r="O59" s="53"/>
      <c r="P59" s="53"/>
      <c r="S59" s="31">
        <f t="shared" si="8"/>
        <v>100</v>
      </c>
    </row>
    <row r="60" spans="1:19">
      <c r="A60" s="51" t="str">
        <f t="shared" si="9"/>
        <v>7|7</v>
      </c>
      <c r="B60" s="52" t="s">
        <v>471</v>
      </c>
      <c r="C60" s="47" t="s">
        <v>499</v>
      </c>
      <c r="D60" s="48">
        <v>5</v>
      </c>
      <c r="E60" s="54"/>
      <c r="F60" s="54"/>
      <c r="G60" s="54">
        <v>15</v>
      </c>
      <c r="H60" s="54">
        <v>15</v>
      </c>
      <c r="I60" s="54">
        <v>25</v>
      </c>
      <c r="J60" s="54">
        <v>25</v>
      </c>
      <c r="K60" s="53">
        <v>20</v>
      </c>
      <c r="L60" s="53"/>
      <c r="M60" s="53"/>
      <c r="N60" s="53"/>
      <c r="O60" s="53"/>
      <c r="P60" s="53"/>
      <c r="S60" s="31">
        <f t="shared" si="8"/>
        <v>100</v>
      </c>
    </row>
    <row r="61" spans="1:19">
      <c r="A61" s="51" t="str">
        <f t="shared" si="9"/>
        <v>7|8</v>
      </c>
      <c r="B61" s="52" t="s">
        <v>338</v>
      </c>
      <c r="C61" s="47" t="s">
        <v>501</v>
      </c>
      <c r="D61" s="48">
        <v>6</v>
      </c>
      <c r="E61" s="54"/>
      <c r="F61" s="54"/>
      <c r="G61" s="54">
        <v>10</v>
      </c>
      <c r="H61" s="54">
        <v>20</v>
      </c>
      <c r="I61" s="54">
        <v>20</v>
      </c>
      <c r="J61" s="53">
        <v>30</v>
      </c>
      <c r="K61" s="53">
        <v>20</v>
      </c>
      <c r="L61" s="53"/>
      <c r="M61" s="53"/>
      <c r="N61" s="53"/>
      <c r="O61" s="53"/>
      <c r="P61" s="53"/>
      <c r="S61" s="31">
        <f t="shared" si="8"/>
        <v>100</v>
      </c>
    </row>
    <row r="62" spans="1:19">
      <c r="A62" s="51" t="str">
        <f t="shared" si="9"/>
        <v>7|9</v>
      </c>
      <c r="B62" s="52" t="s">
        <v>502</v>
      </c>
      <c r="C62" s="47" t="s">
        <v>503</v>
      </c>
      <c r="D62" s="48">
        <v>6</v>
      </c>
      <c r="E62" s="54">
        <v>5</v>
      </c>
      <c r="F62" s="54">
        <v>10</v>
      </c>
      <c r="G62" s="54">
        <v>20</v>
      </c>
      <c r="H62" s="54">
        <v>20</v>
      </c>
      <c r="I62" s="54">
        <v>20</v>
      </c>
      <c r="J62" s="53">
        <v>15</v>
      </c>
      <c r="K62" s="53">
        <v>10</v>
      </c>
      <c r="L62" s="53"/>
      <c r="M62" s="53"/>
      <c r="N62" s="53"/>
      <c r="O62" s="53"/>
      <c r="P62" s="53"/>
      <c r="S62" s="31">
        <f t="shared" si="8"/>
        <v>100</v>
      </c>
    </row>
    <row r="63" spans="1:19">
      <c r="A63" s="51" t="str">
        <f t="shared" si="9"/>
        <v>7|10</v>
      </c>
      <c r="B63" s="52" t="s">
        <v>504</v>
      </c>
      <c r="C63" s="47" t="s">
        <v>493</v>
      </c>
      <c r="D63" s="48"/>
      <c r="E63" s="54">
        <v>15</v>
      </c>
      <c r="F63" s="54">
        <v>25</v>
      </c>
      <c r="G63" s="54">
        <v>25</v>
      </c>
      <c r="H63" s="54">
        <v>20</v>
      </c>
      <c r="I63" s="54">
        <v>10</v>
      </c>
      <c r="J63" s="53">
        <v>5</v>
      </c>
      <c r="K63" s="53"/>
      <c r="L63" s="53"/>
      <c r="M63" s="53"/>
      <c r="N63" s="53"/>
      <c r="O63" s="53"/>
      <c r="P63" s="53"/>
      <c r="S63" s="31">
        <f t="shared" si="8"/>
        <v>100</v>
      </c>
    </row>
    <row r="64" spans="1:19">
      <c r="A64" s="51" t="str">
        <f t="shared" si="9"/>
        <v>7|11</v>
      </c>
      <c r="B64" s="52" t="s">
        <v>758</v>
      </c>
      <c r="C64" s="47" t="s">
        <v>796</v>
      </c>
      <c r="D64" s="48"/>
      <c r="E64" s="54">
        <v>2</v>
      </c>
      <c r="F64" s="54">
        <v>8</v>
      </c>
      <c r="G64" s="54">
        <v>18</v>
      </c>
      <c r="H64" s="54">
        <v>20</v>
      </c>
      <c r="I64" s="54">
        <v>20</v>
      </c>
      <c r="J64" s="53">
        <v>20</v>
      </c>
      <c r="K64" s="53">
        <v>12</v>
      </c>
      <c r="L64" s="53"/>
      <c r="M64" s="53"/>
      <c r="N64" s="53"/>
      <c r="O64" s="53"/>
      <c r="P64" s="53"/>
      <c r="S64" s="31">
        <f t="shared" si="8"/>
        <v>100</v>
      </c>
    </row>
    <row r="65" spans="1:19" ht="5.45" customHeight="1"/>
    <row r="66" spans="1:19" ht="13.5" thickBot="1">
      <c r="A66" s="55" t="s">
        <v>80</v>
      </c>
      <c r="B66" s="56">
        <v>8</v>
      </c>
      <c r="C66" s="57"/>
      <c r="D66" s="58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</row>
    <row r="67" spans="1:19" ht="13.5" thickTop="1">
      <c r="A67" s="59" t="str">
        <f>CONCATENATE($B$66,"|",B67)</f>
        <v>8|1</v>
      </c>
      <c r="B67" s="46">
        <v>1</v>
      </c>
      <c r="C67" s="47" t="s">
        <v>494</v>
      </c>
      <c r="D67" s="48">
        <v>1</v>
      </c>
      <c r="E67" s="49">
        <v>15</v>
      </c>
      <c r="F67" s="49">
        <v>20</v>
      </c>
      <c r="G67" s="49">
        <v>25</v>
      </c>
      <c r="H67" s="49">
        <v>25</v>
      </c>
      <c r="I67" s="49">
        <v>10</v>
      </c>
      <c r="J67" s="50">
        <v>5</v>
      </c>
      <c r="K67" s="50"/>
      <c r="L67" s="50"/>
      <c r="M67" s="50"/>
      <c r="N67" s="50"/>
      <c r="O67" s="50"/>
      <c r="P67" s="50"/>
      <c r="S67" s="31">
        <f>SUM(E67:P67)</f>
        <v>100</v>
      </c>
    </row>
    <row r="68" spans="1:19">
      <c r="A68" s="51" t="str">
        <f>CONCATENATE($B$66,"|",B68)</f>
        <v>8|2</v>
      </c>
      <c r="B68" s="52" t="s">
        <v>189</v>
      </c>
      <c r="C68" s="47" t="s">
        <v>490</v>
      </c>
      <c r="D68" s="48">
        <v>2</v>
      </c>
      <c r="E68" s="49">
        <v>15</v>
      </c>
      <c r="F68" s="49">
        <v>20</v>
      </c>
      <c r="G68" s="49">
        <v>25</v>
      </c>
      <c r="H68" s="49">
        <v>25</v>
      </c>
      <c r="I68" s="49">
        <v>10</v>
      </c>
      <c r="J68" s="53">
        <v>5</v>
      </c>
      <c r="K68" s="53"/>
      <c r="L68" s="53"/>
      <c r="M68" s="53"/>
      <c r="N68" s="53"/>
      <c r="O68" s="53"/>
      <c r="P68" s="53"/>
      <c r="S68" s="31">
        <f t="shared" ref="S68:S77" si="10">SUM(E68:P68)</f>
        <v>100</v>
      </c>
    </row>
    <row r="69" spans="1:19">
      <c r="A69" s="51" t="str">
        <f t="shared" ref="A69:A77" si="11">CONCATENATE($B$66,"|",B69)</f>
        <v>8|3</v>
      </c>
      <c r="B69" s="52" t="s">
        <v>213</v>
      </c>
      <c r="C69" s="47" t="s">
        <v>496</v>
      </c>
      <c r="D69" s="48">
        <v>3</v>
      </c>
      <c r="E69" s="54">
        <v>5</v>
      </c>
      <c r="F69" s="54">
        <v>10</v>
      </c>
      <c r="G69" s="54">
        <v>15</v>
      </c>
      <c r="H69" s="54">
        <v>20</v>
      </c>
      <c r="I69" s="54">
        <v>20</v>
      </c>
      <c r="J69" s="53">
        <v>20</v>
      </c>
      <c r="K69" s="53">
        <v>10</v>
      </c>
      <c r="L69" s="53"/>
      <c r="M69" s="53"/>
      <c r="N69" s="53"/>
      <c r="O69" s="53"/>
      <c r="P69" s="53"/>
      <c r="S69" s="31">
        <f t="shared" si="10"/>
        <v>100</v>
      </c>
    </row>
    <row r="70" spans="1:19">
      <c r="A70" s="51" t="str">
        <f t="shared" si="11"/>
        <v>8|4</v>
      </c>
      <c r="B70" s="52" t="s">
        <v>231</v>
      </c>
      <c r="C70" s="47" t="s">
        <v>491</v>
      </c>
      <c r="D70" s="48">
        <v>4</v>
      </c>
      <c r="E70" s="54"/>
      <c r="F70" s="54"/>
      <c r="G70" s="54">
        <v>10</v>
      </c>
      <c r="H70" s="54">
        <v>25</v>
      </c>
      <c r="I70" s="54">
        <v>25</v>
      </c>
      <c r="J70" s="53">
        <v>20</v>
      </c>
      <c r="K70" s="53">
        <v>10</v>
      </c>
      <c r="L70" s="53">
        <v>10</v>
      </c>
      <c r="M70" s="53"/>
      <c r="N70" s="53"/>
      <c r="O70" s="53"/>
      <c r="P70" s="53"/>
      <c r="S70" s="31">
        <f t="shared" si="10"/>
        <v>100</v>
      </c>
    </row>
    <row r="71" spans="1:19">
      <c r="A71" s="51" t="str">
        <f t="shared" si="11"/>
        <v>8|5</v>
      </c>
      <c r="B71" s="52" t="s">
        <v>188</v>
      </c>
      <c r="C71" s="47" t="s">
        <v>492</v>
      </c>
      <c r="D71" s="48">
        <v>5</v>
      </c>
      <c r="E71" s="54"/>
      <c r="F71" s="54">
        <v>5</v>
      </c>
      <c r="G71" s="54">
        <v>15</v>
      </c>
      <c r="H71" s="54">
        <v>25</v>
      </c>
      <c r="I71" s="54">
        <v>25</v>
      </c>
      <c r="J71" s="53">
        <v>15</v>
      </c>
      <c r="K71" s="53">
        <v>15</v>
      </c>
      <c r="L71" s="53"/>
      <c r="M71" s="53"/>
      <c r="N71" s="53"/>
      <c r="O71" s="53"/>
      <c r="P71" s="53"/>
      <c r="S71" s="31">
        <f t="shared" si="10"/>
        <v>100</v>
      </c>
    </row>
    <row r="72" spans="1:19">
      <c r="A72" s="51" t="str">
        <f t="shared" si="11"/>
        <v>8|6</v>
      </c>
      <c r="B72" s="52" t="s">
        <v>233</v>
      </c>
      <c r="C72" s="47" t="s">
        <v>498</v>
      </c>
      <c r="D72" s="48">
        <v>3</v>
      </c>
      <c r="E72" s="54"/>
      <c r="F72" s="54"/>
      <c r="G72" s="54">
        <v>5</v>
      </c>
      <c r="H72" s="54">
        <v>20</v>
      </c>
      <c r="I72" s="54">
        <v>20</v>
      </c>
      <c r="J72" s="53">
        <v>25</v>
      </c>
      <c r="K72" s="53">
        <v>20</v>
      </c>
      <c r="L72" s="53">
        <v>10</v>
      </c>
      <c r="M72" s="53"/>
      <c r="N72" s="53"/>
      <c r="O72" s="53"/>
      <c r="P72" s="53"/>
      <c r="S72" s="31">
        <f t="shared" si="10"/>
        <v>100</v>
      </c>
    </row>
    <row r="73" spans="1:19">
      <c r="A73" s="51" t="str">
        <f t="shared" si="11"/>
        <v>8|7</v>
      </c>
      <c r="B73" s="52" t="s">
        <v>471</v>
      </c>
      <c r="C73" s="47" t="s">
        <v>499</v>
      </c>
      <c r="D73" s="48">
        <v>5</v>
      </c>
      <c r="E73" s="54"/>
      <c r="F73" s="54"/>
      <c r="G73" s="54">
        <v>5</v>
      </c>
      <c r="H73" s="54">
        <v>15</v>
      </c>
      <c r="I73" s="54">
        <v>20</v>
      </c>
      <c r="J73" s="54">
        <v>25</v>
      </c>
      <c r="K73" s="54">
        <v>25</v>
      </c>
      <c r="L73" s="54">
        <v>10</v>
      </c>
      <c r="M73" s="53"/>
      <c r="N73" s="53"/>
      <c r="O73" s="53"/>
      <c r="P73" s="53"/>
      <c r="S73" s="31">
        <f t="shared" si="10"/>
        <v>100</v>
      </c>
    </row>
    <row r="74" spans="1:19">
      <c r="A74" s="51" t="str">
        <f t="shared" si="11"/>
        <v>8|8</v>
      </c>
      <c r="B74" s="52" t="s">
        <v>338</v>
      </c>
      <c r="C74" s="47" t="s">
        <v>501</v>
      </c>
      <c r="D74" s="48">
        <v>6</v>
      </c>
      <c r="E74" s="54"/>
      <c r="F74" s="54"/>
      <c r="G74" s="54"/>
      <c r="H74" s="54">
        <v>20</v>
      </c>
      <c r="I74" s="54">
        <v>20</v>
      </c>
      <c r="J74" s="53">
        <v>30</v>
      </c>
      <c r="K74" s="53">
        <v>20</v>
      </c>
      <c r="L74" s="53">
        <v>10</v>
      </c>
      <c r="M74" s="53"/>
      <c r="N74" s="53"/>
      <c r="O74" s="53"/>
      <c r="P74" s="53"/>
      <c r="S74" s="31">
        <f t="shared" si="10"/>
        <v>100</v>
      </c>
    </row>
    <row r="75" spans="1:19">
      <c r="A75" s="51" t="str">
        <f t="shared" si="11"/>
        <v>8|9</v>
      </c>
      <c r="B75" s="52" t="s">
        <v>502</v>
      </c>
      <c r="C75" s="47" t="s">
        <v>503</v>
      </c>
      <c r="D75" s="48">
        <v>6</v>
      </c>
      <c r="E75" s="54">
        <v>5</v>
      </c>
      <c r="F75" s="54">
        <v>5</v>
      </c>
      <c r="G75" s="54">
        <v>10</v>
      </c>
      <c r="H75" s="54">
        <v>15</v>
      </c>
      <c r="I75" s="54">
        <v>20</v>
      </c>
      <c r="J75" s="53">
        <v>20</v>
      </c>
      <c r="K75" s="53">
        <v>15</v>
      </c>
      <c r="L75" s="53">
        <v>10</v>
      </c>
      <c r="M75" s="53"/>
      <c r="N75" s="53"/>
      <c r="O75" s="53"/>
      <c r="P75" s="53"/>
      <c r="S75" s="31">
        <f t="shared" si="10"/>
        <v>100</v>
      </c>
    </row>
    <row r="76" spans="1:19">
      <c r="A76" s="51" t="str">
        <f t="shared" si="11"/>
        <v>8|10</v>
      </c>
      <c r="B76" s="52" t="s">
        <v>504</v>
      </c>
      <c r="C76" s="47" t="s">
        <v>493</v>
      </c>
      <c r="D76" s="48"/>
      <c r="E76" s="54">
        <v>15</v>
      </c>
      <c r="F76" s="54">
        <v>20</v>
      </c>
      <c r="G76" s="54">
        <v>20</v>
      </c>
      <c r="H76" s="54">
        <v>20</v>
      </c>
      <c r="I76" s="54">
        <v>15</v>
      </c>
      <c r="J76" s="53">
        <v>10</v>
      </c>
      <c r="K76" s="53"/>
      <c r="L76" s="53"/>
      <c r="M76" s="53"/>
      <c r="N76" s="53"/>
      <c r="O76" s="53"/>
      <c r="P76" s="53"/>
      <c r="S76" s="31">
        <f t="shared" si="10"/>
        <v>100</v>
      </c>
    </row>
    <row r="77" spans="1:19">
      <c r="A77" s="51" t="str">
        <f t="shared" si="11"/>
        <v>8|11</v>
      </c>
      <c r="B77" s="52" t="s">
        <v>758</v>
      </c>
      <c r="C77" s="47" t="s">
        <v>796</v>
      </c>
      <c r="D77" s="48"/>
      <c r="E77" s="54">
        <v>2</v>
      </c>
      <c r="F77" s="54">
        <v>2</v>
      </c>
      <c r="G77" s="54">
        <v>13</v>
      </c>
      <c r="H77" s="54">
        <v>15</v>
      </c>
      <c r="I77" s="54">
        <v>15</v>
      </c>
      <c r="J77" s="53">
        <v>22</v>
      </c>
      <c r="K77" s="53">
        <v>23</v>
      </c>
      <c r="L77" s="53">
        <v>8</v>
      </c>
      <c r="M77" s="53"/>
      <c r="N77" s="53"/>
      <c r="O77" s="53"/>
      <c r="P77" s="53"/>
      <c r="S77" s="31">
        <f t="shared" si="10"/>
        <v>100</v>
      </c>
    </row>
    <row r="78" spans="1:19" ht="5.45" customHeight="1"/>
    <row r="79" spans="1:19" ht="13.5" thickBot="1">
      <c r="A79" s="55" t="s">
        <v>80</v>
      </c>
      <c r="B79" s="56">
        <v>9</v>
      </c>
      <c r="C79" s="57"/>
      <c r="D79" s="58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</row>
    <row r="80" spans="1:19" ht="13.5" thickTop="1">
      <c r="A80" s="59" t="str">
        <f>CONCATENATE($B$79,"|",B80)</f>
        <v>9|1</v>
      </c>
      <c r="B80" s="46">
        <v>1</v>
      </c>
      <c r="C80" s="47" t="s">
        <v>494</v>
      </c>
      <c r="D80" s="48">
        <v>1</v>
      </c>
      <c r="E80" s="49">
        <v>15</v>
      </c>
      <c r="F80" s="49">
        <v>15</v>
      </c>
      <c r="G80" s="49">
        <v>20</v>
      </c>
      <c r="H80" s="49">
        <v>20</v>
      </c>
      <c r="I80" s="49">
        <v>20</v>
      </c>
      <c r="J80" s="50">
        <v>10</v>
      </c>
      <c r="K80" s="50"/>
      <c r="L80" s="50"/>
      <c r="M80" s="50"/>
      <c r="N80" s="50"/>
      <c r="O80" s="50"/>
      <c r="P80" s="50"/>
      <c r="S80" s="31">
        <f>SUM(E80:P80)</f>
        <v>100</v>
      </c>
    </row>
    <row r="81" spans="1:19">
      <c r="A81" s="51" t="str">
        <f>CONCATENATE($B$79,"|",B81)</f>
        <v>9|2</v>
      </c>
      <c r="B81" s="52" t="s">
        <v>189</v>
      </c>
      <c r="C81" s="47" t="s">
        <v>490</v>
      </c>
      <c r="D81" s="48">
        <v>2</v>
      </c>
      <c r="E81" s="49">
        <v>10</v>
      </c>
      <c r="F81" s="49">
        <v>15</v>
      </c>
      <c r="G81" s="49">
        <v>20</v>
      </c>
      <c r="H81" s="49">
        <v>20</v>
      </c>
      <c r="I81" s="49">
        <v>15</v>
      </c>
      <c r="J81" s="53">
        <v>15</v>
      </c>
      <c r="K81" s="53">
        <v>5</v>
      </c>
      <c r="L81" s="53"/>
      <c r="M81" s="53"/>
      <c r="N81" s="53"/>
      <c r="O81" s="53"/>
      <c r="P81" s="53"/>
      <c r="S81" s="31">
        <f t="shared" ref="S81:S90" si="12">SUM(E81:P81)</f>
        <v>100</v>
      </c>
    </row>
    <row r="82" spans="1:19">
      <c r="A82" s="51" t="str">
        <f t="shared" ref="A82:A90" si="13">CONCATENATE($B$79,"|",B82)</f>
        <v>9|3</v>
      </c>
      <c r="B82" s="52" t="s">
        <v>213</v>
      </c>
      <c r="C82" s="47" t="s">
        <v>496</v>
      </c>
      <c r="D82" s="48">
        <v>3</v>
      </c>
      <c r="E82" s="54">
        <v>5</v>
      </c>
      <c r="F82" s="54">
        <v>10</v>
      </c>
      <c r="G82" s="54">
        <v>15</v>
      </c>
      <c r="H82" s="54">
        <v>20</v>
      </c>
      <c r="I82" s="54">
        <v>20</v>
      </c>
      <c r="J82" s="53">
        <v>10</v>
      </c>
      <c r="K82" s="53">
        <v>10</v>
      </c>
      <c r="L82" s="53">
        <v>10</v>
      </c>
      <c r="M82" s="53"/>
      <c r="N82" s="53"/>
      <c r="O82" s="53"/>
      <c r="P82" s="53"/>
      <c r="S82" s="31">
        <f t="shared" si="12"/>
        <v>100</v>
      </c>
    </row>
    <row r="83" spans="1:19">
      <c r="A83" s="51" t="str">
        <f t="shared" si="13"/>
        <v>9|4</v>
      </c>
      <c r="B83" s="52" t="s">
        <v>231</v>
      </c>
      <c r="C83" s="47" t="s">
        <v>491</v>
      </c>
      <c r="D83" s="48">
        <v>4</v>
      </c>
      <c r="E83" s="54"/>
      <c r="F83" s="54"/>
      <c r="G83" s="54">
        <v>5</v>
      </c>
      <c r="H83" s="54">
        <v>15</v>
      </c>
      <c r="I83" s="54">
        <v>20</v>
      </c>
      <c r="J83" s="53">
        <v>20</v>
      </c>
      <c r="K83" s="53">
        <v>20</v>
      </c>
      <c r="L83" s="53">
        <v>15</v>
      </c>
      <c r="M83" s="53">
        <v>5</v>
      </c>
      <c r="N83" s="53"/>
      <c r="O83" s="53"/>
      <c r="P83" s="53"/>
      <c r="S83" s="31">
        <f t="shared" si="12"/>
        <v>100</v>
      </c>
    </row>
    <row r="84" spans="1:19">
      <c r="A84" s="51" t="str">
        <f t="shared" si="13"/>
        <v>9|5</v>
      </c>
      <c r="B84" s="52" t="s">
        <v>188</v>
      </c>
      <c r="C84" s="47" t="s">
        <v>492</v>
      </c>
      <c r="D84" s="48">
        <v>5</v>
      </c>
      <c r="E84" s="54"/>
      <c r="F84" s="54">
        <v>5</v>
      </c>
      <c r="G84" s="54">
        <v>10</v>
      </c>
      <c r="H84" s="54">
        <v>15</v>
      </c>
      <c r="I84" s="54">
        <v>20</v>
      </c>
      <c r="J84" s="53">
        <v>20</v>
      </c>
      <c r="K84" s="53">
        <v>20</v>
      </c>
      <c r="L84" s="53">
        <v>10</v>
      </c>
      <c r="M84" s="53"/>
      <c r="N84" s="53"/>
      <c r="O84" s="53"/>
      <c r="P84" s="53"/>
      <c r="S84" s="31">
        <f t="shared" si="12"/>
        <v>100</v>
      </c>
    </row>
    <row r="85" spans="1:19">
      <c r="A85" s="51" t="str">
        <f t="shared" si="13"/>
        <v>9|6</v>
      </c>
      <c r="B85" s="52" t="s">
        <v>233</v>
      </c>
      <c r="C85" s="47" t="s">
        <v>498</v>
      </c>
      <c r="D85" s="48">
        <v>3</v>
      </c>
      <c r="E85" s="54"/>
      <c r="F85" s="54"/>
      <c r="G85" s="54">
        <v>5</v>
      </c>
      <c r="H85" s="54">
        <v>10</v>
      </c>
      <c r="I85" s="54">
        <v>20</v>
      </c>
      <c r="J85" s="53">
        <v>20</v>
      </c>
      <c r="K85" s="53">
        <v>20</v>
      </c>
      <c r="L85" s="53">
        <v>15</v>
      </c>
      <c r="M85" s="53">
        <v>10</v>
      </c>
      <c r="N85" s="53"/>
      <c r="O85" s="53"/>
      <c r="P85" s="53"/>
      <c r="S85" s="31">
        <f t="shared" si="12"/>
        <v>100</v>
      </c>
    </row>
    <row r="86" spans="1:19">
      <c r="A86" s="51" t="str">
        <f t="shared" si="13"/>
        <v>9|7</v>
      </c>
      <c r="B86" s="52" t="s">
        <v>471</v>
      </c>
      <c r="C86" s="47" t="s">
        <v>499</v>
      </c>
      <c r="D86" s="48">
        <v>5</v>
      </c>
      <c r="E86" s="54"/>
      <c r="F86" s="54"/>
      <c r="G86" s="54"/>
      <c r="H86" s="54">
        <v>15</v>
      </c>
      <c r="I86" s="54">
        <v>15</v>
      </c>
      <c r="J86" s="53">
        <v>15</v>
      </c>
      <c r="K86" s="53">
        <v>20</v>
      </c>
      <c r="L86" s="53">
        <v>20</v>
      </c>
      <c r="M86" s="53">
        <v>15</v>
      </c>
      <c r="N86" s="53"/>
      <c r="O86" s="53"/>
      <c r="P86" s="53"/>
      <c r="S86" s="31">
        <f t="shared" si="12"/>
        <v>100</v>
      </c>
    </row>
    <row r="87" spans="1:19">
      <c r="A87" s="51" t="str">
        <f t="shared" si="13"/>
        <v>9|8</v>
      </c>
      <c r="B87" s="52" t="s">
        <v>338</v>
      </c>
      <c r="C87" s="47" t="s">
        <v>501</v>
      </c>
      <c r="D87" s="48">
        <v>6</v>
      </c>
      <c r="E87" s="54"/>
      <c r="F87" s="54"/>
      <c r="G87" s="54"/>
      <c r="H87" s="54">
        <v>10</v>
      </c>
      <c r="I87" s="54">
        <v>20</v>
      </c>
      <c r="J87" s="53">
        <v>30</v>
      </c>
      <c r="K87" s="53">
        <v>20</v>
      </c>
      <c r="L87" s="53">
        <v>10</v>
      </c>
      <c r="M87" s="53">
        <v>10</v>
      </c>
      <c r="N87" s="53"/>
      <c r="O87" s="53"/>
      <c r="P87" s="53"/>
      <c r="S87" s="31">
        <f t="shared" si="12"/>
        <v>100</v>
      </c>
    </row>
    <row r="88" spans="1:19">
      <c r="A88" s="51" t="str">
        <f t="shared" si="13"/>
        <v>9|9</v>
      </c>
      <c r="B88" s="52" t="s">
        <v>502</v>
      </c>
      <c r="C88" s="47" t="s">
        <v>503</v>
      </c>
      <c r="D88" s="48">
        <v>6</v>
      </c>
      <c r="E88" s="54">
        <v>5</v>
      </c>
      <c r="F88" s="54">
        <v>5</v>
      </c>
      <c r="G88" s="54">
        <v>10</v>
      </c>
      <c r="H88" s="54">
        <v>15</v>
      </c>
      <c r="I88" s="54">
        <v>20</v>
      </c>
      <c r="J88" s="53">
        <v>15</v>
      </c>
      <c r="K88" s="53">
        <v>15</v>
      </c>
      <c r="L88" s="53">
        <v>15</v>
      </c>
      <c r="M88" s="53"/>
      <c r="N88" s="53"/>
      <c r="O88" s="53"/>
      <c r="P88" s="53"/>
      <c r="S88" s="31">
        <f t="shared" si="12"/>
        <v>100</v>
      </c>
    </row>
    <row r="89" spans="1:19">
      <c r="A89" s="51" t="str">
        <f t="shared" si="13"/>
        <v>9|10</v>
      </c>
      <c r="B89" s="52" t="s">
        <v>504</v>
      </c>
      <c r="C89" s="47" t="s">
        <v>493</v>
      </c>
      <c r="D89" s="48"/>
      <c r="E89" s="54">
        <v>10</v>
      </c>
      <c r="F89" s="54">
        <v>15</v>
      </c>
      <c r="G89" s="54">
        <v>20</v>
      </c>
      <c r="H89" s="54">
        <v>20</v>
      </c>
      <c r="I89" s="54">
        <v>20</v>
      </c>
      <c r="J89" s="53">
        <v>10</v>
      </c>
      <c r="K89" s="53">
        <v>5</v>
      </c>
      <c r="L89" s="53"/>
      <c r="M89" s="53"/>
      <c r="N89" s="53"/>
      <c r="O89" s="53"/>
      <c r="P89" s="53"/>
      <c r="S89" s="31">
        <f t="shared" si="12"/>
        <v>100</v>
      </c>
    </row>
    <row r="90" spans="1:19">
      <c r="A90" s="51" t="str">
        <f t="shared" si="13"/>
        <v>9|11</v>
      </c>
      <c r="B90" s="52" t="s">
        <v>758</v>
      </c>
      <c r="C90" s="47" t="s">
        <v>796</v>
      </c>
      <c r="D90" s="48"/>
      <c r="E90" s="54">
        <v>3</v>
      </c>
      <c r="F90" s="54">
        <v>5</v>
      </c>
      <c r="G90" s="54">
        <v>11</v>
      </c>
      <c r="H90" s="54">
        <v>15</v>
      </c>
      <c r="I90" s="54">
        <v>20</v>
      </c>
      <c r="J90" s="53">
        <v>16</v>
      </c>
      <c r="K90" s="53">
        <v>14</v>
      </c>
      <c r="L90" s="53">
        <v>10</v>
      </c>
      <c r="M90" s="53">
        <v>6</v>
      </c>
      <c r="N90" s="53"/>
      <c r="O90" s="53"/>
      <c r="P90" s="53"/>
      <c r="S90" s="31">
        <f t="shared" si="12"/>
        <v>100</v>
      </c>
    </row>
    <row r="91" spans="1:19" ht="5.45" customHeight="1"/>
    <row r="92" spans="1:19" ht="13.5" thickBot="1">
      <c r="A92" s="55" t="s">
        <v>80</v>
      </c>
      <c r="B92" s="56">
        <v>10</v>
      </c>
      <c r="C92" s="57"/>
      <c r="D92" s="58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</row>
    <row r="93" spans="1:19" ht="13.5" thickTop="1">
      <c r="A93" s="59" t="str">
        <f>CONCATENATE($B$92,"|",B93)</f>
        <v>10|1</v>
      </c>
      <c r="B93" s="46">
        <v>1</v>
      </c>
      <c r="C93" s="47" t="s">
        <v>494</v>
      </c>
      <c r="D93" s="48">
        <v>1</v>
      </c>
      <c r="E93" s="49">
        <v>20</v>
      </c>
      <c r="F93" s="49">
        <v>20</v>
      </c>
      <c r="G93" s="49">
        <v>20</v>
      </c>
      <c r="H93" s="49">
        <v>10</v>
      </c>
      <c r="I93" s="49">
        <v>10</v>
      </c>
      <c r="J93" s="50">
        <v>10</v>
      </c>
      <c r="K93" s="50">
        <v>10</v>
      </c>
      <c r="L93" s="50"/>
      <c r="M93" s="50"/>
      <c r="N93" s="50"/>
      <c r="O93" s="50"/>
      <c r="P93" s="50"/>
      <c r="S93" s="31">
        <f>SUM(E93:P93)</f>
        <v>100</v>
      </c>
    </row>
    <row r="94" spans="1:19">
      <c r="A94" s="51" t="str">
        <f>CONCATENATE($B$92,"|",B94)</f>
        <v>10|2</v>
      </c>
      <c r="B94" s="52" t="s">
        <v>189</v>
      </c>
      <c r="C94" s="47" t="s">
        <v>490</v>
      </c>
      <c r="D94" s="48">
        <v>2</v>
      </c>
      <c r="E94" s="49">
        <v>5</v>
      </c>
      <c r="F94" s="49">
        <v>10</v>
      </c>
      <c r="G94" s="49">
        <v>15</v>
      </c>
      <c r="H94" s="49">
        <v>20</v>
      </c>
      <c r="I94" s="49">
        <v>20</v>
      </c>
      <c r="J94" s="53">
        <v>15</v>
      </c>
      <c r="K94" s="53">
        <v>10</v>
      </c>
      <c r="L94" s="53">
        <v>5</v>
      </c>
      <c r="M94" s="53"/>
      <c r="N94" s="53"/>
      <c r="O94" s="53"/>
      <c r="P94" s="53"/>
      <c r="S94" s="31">
        <f t="shared" ref="S94:S103" si="14">SUM(E94:P94)</f>
        <v>100</v>
      </c>
    </row>
    <row r="95" spans="1:19">
      <c r="A95" s="51" t="str">
        <f t="shared" ref="A95:A103" si="15">CONCATENATE($B$92,"|",B95)</f>
        <v>10|3</v>
      </c>
      <c r="B95" s="52" t="s">
        <v>213</v>
      </c>
      <c r="C95" s="47" t="s">
        <v>496</v>
      </c>
      <c r="D95" s="48">
        <v>3</v>
      </c>
      <c r="E95" s="54"/>
      <c r="F95" s="54">
        <v>5</v>
      </c>
      <c r="G95" s="54">
        <v>10</v>
      </c>
      <c r="H95" s="54">
        <v>15</v>
      </c>
      <c r="I95" s="54">
        <v>15</v>
      </c>
      <c r="J95" s="53">
        <v>15</v>
      </c>
      <c r="K95" s="53">
        <v>15</v>
      </c>
      <c r="L95" s="53">
        <v>15</v>
      </c>
      <c r="M95" s="53">
        <v>10</v>
      </c>
      <c r="N95" s="53"/>
      <c r="O95" s="53"/>
      <c r="P95" s="53"/>
      <c r="S95" s="31">
        <f t="shared" si="14"/>
        <v>100</v>
      </c>
    </row>
    <row r="96" spans="1:19">
      <c r="A96" s="51" t="str">
        <f t="shared" si="15"/>
        <v>10|4</v>
      </c>
      <c r="B96" s="52" t="s">
        <v>231</v>
      </c>
      <c r="C96" s="47" t="s">
        <v>491</v>
      </c>
      <c r="D96" s="48">
        <v>4</v>
      </c>
      <c r="E96" s="54"/>
      <c r="F96" s="54"/>
      <c r="G96" s="54">
        <v>5</v>
      </c>
      <c r="H96" s="54">
        <v>5</v>
      </c>
      <c r="I96" s="54">
        <v>15</v>
      </c>
      <c r="J96" s="53">
        <v>20</v>
      </c>
      <c r="K96" s="53">
        <v>20</v>
      </c>
      <c r="L96" s="53">
        <v>15</v>
      </c>
      <c r="M96" s="53">
        <v>10</v>
      </c>
      <c r="N96" s="53">
        <v>10</v>
      </c>
      <c r="O96" s="53"/>
      <c r="P96" s="53"/>
      <c r="S96" s="31">
        <f t="shared" si="14"/>
        <v>100</v>
      </c>
    </row>
    <row r="97" spans="1:19">
      <c r="A97" s="51" t="str">
        <f t="shared" si="15"/>
        <v>10|5</v>
      </c>
      <c r="B97" s="52" t="s">
        <v>188</v>
      </c>
      <c r="C97" s="47" t="s">
        <v>492</v>
      </c>
      <c r="D97" s="48">
        <v>5</v>
      </c>
      <c r="E97" s="54"/>
      <c r="F97" s="54"/>
      <c r="G97" s="54">
        <v>10</v>
      </c>
      <c r="H97" s="54">
        <v>10</v>
      </c>
      <c r="I97" s="54">
        <v>10</v>
      </c>
      <c r="J97" s="53">
        <v>20</v>
      </c>
      <c r="K97" s="53">
        <v>20</v>
      </c>
      <c r="L97" s="53">
        <v>20</v>
      </c>
      <c r="M97" s="53">
        <v>10</v>
      </c>
      <c r="N97" s="53"/>
      <c r="O97" s="53"/>
      <c r="P97" s="53"/>
      <c r="S97" s="31">
        <f t="shared" si="14"/>
        <v>100</v>
      </c>
    </row>
    <row r="98" spans="1:19">
      <c r="A98" s="51" t="str">
        <f t="shared" si="15"/>
        <v>10|6</v>
      </c>
      <c r="B98" s="52" t="s">
        <v>233</v>
      </c>
      <c r="C98" s="47" t="s">
        <v>498</v>
      </c>
      <c r="D98" s="48">
        <v>3</v>
      </c>
      <c r="E98" s="54"/>
      <c r="F98" s="54"/>
      <c r="G98" s="54"/>
      <c r="H98" s="54">
        <v>5</v>
      </c>
      <c r="I98" s="54">
        <v>10</v>
      </c>
      <c r="J98" s="54">
        <v>15</v>
      </c>
      <c r="K98" s="53">
        <v>20</v>
      </c>
      <c r="L98" s="53">
        <v>20</v>
      </c>
      <c r="M98" s="53">
        <v>15</v>
      </c>
      <c r="N98" s="53">
        <v>15</v>
      </c>
      <c r="O98" s="53"/>
      <c r="P98" s="53"/>
      <c r="S98" s="31">
        <f t="shared" si="14"/>
        <v>100</v>
      </c>
    </row>
    <row r="99" spans="1:19">
      <c r="A99" s="51" t="str">
        <f t="shared" si="15"/>
        <v>10|7</v>
      </c>
      <c r="B99" s="52" t="s">
        <v>471</v>
      </c>
      <c r="C99" s="47" t="s">
        <v>499</v>
      </c>
      <c r="D99" s="48">
        <v>5</v>
      </c>
      <c r="E99" s="54"/>
      <c r="F99" s="54"/>
      <c r="G99" s="54"/>
      <c r="H99" s="54">
        <v>15</v>
      </c>
      <c r="I99" s="54">
        <v>15</v>
      </c>
      <c r="J99" s="53">
        <v>15</v>
      </c>
      <c r="K99" s="53">
        <v>20</v>
      </c>
      <c r="L99" s="53">
        <v>15</v>
      </c>
      <c r="M99" s="53">
        <v>10</v>
      </c>
      <c r="N99" s="53">
        <v>10</v>
      </c>
      <c r="O99" s="53"/>
      <c r="P99" s="53"/>
      <c r="S99" s="31">
        <f t="shared" si="14"/>
        <v>100</v>
      </c>
    </row>
    <row r="100" spans="1:19">
      <c r="A100" s="51" t="str">
        <f t="shared" si="15"/>
        <v>10|8</v>
      </c>
      <c r="B100" s="52" t="s">
        <v>338</v>
      </c>
      <c r="C100" s="47" t="s">
        <v>501</v>
      </c>
      <c r="D100" s="48">
        <v>6</v>
      </c>
      <c r="E100" s="54"/>
      <c r="F100" s="54"/>
      <c r="G100" s="54"/>
      <c r="H100" s="54">
        <v>10</v>
      </c>
      <c r="I100" s="54">
        <v>20</v>
      </c>
      <c r="J100" s="53">
        <v>20</v>
      </c>
      <c r="K100" s="53">
        <v>20</v>
      </c>
      <c r="L100" s="53">
        <v>10</v>
      </c>
      <c r="M100" s="53">
        <v>10</v>
      </c>
      <c r="N100" s="53">
        <v>10</v>
      </c>
      <c r="O100" s="53"/>
      <c r="P100" s="53"/>
      <c r="S100" s="31">
        <f t="shared" si="14"/>
        <v>100</v>
      </c>
    </row>
    <row r="101" spans="1:19">
      <c r="A101" s="51" t="str">
        <f t="shared" si="15"/>
        <v>10|9</v>
      </c>
      <c r="B101" s="52" t="s">
        <v>502</v>
      </c>
      <c r="C101" s="47" t="s">
        <v>503</v>
      </c>
      <c r="D101" s="48">
        <v>6</v>
      </c>
      <c r="E101" s="54">
        <v>5</v>
      </c>
      <c r="F101" s="54">
        <v>5</v>
      </c>
      <c r="G101" s="54">
        <v>10</v>
      </c>
      <c r="H101" s="54">
        <v>10</v>
      </c>
      <c r="I101" s="54">
        <v>10</v>
      </c>
      <c r="J101" s="53">
        <v>15</v>
      </c>
      <c r="K101" s="53">
        <v>15</v>
      </c>
      <c r="L101" s="53">
        <v>10</v>
      </c>
      <c r="M101" s="53">
        <v>10</v>
      </c>
      <c r="N101" s="53">
        <v>10</v>
      </c>
      <c r="O101" s="53"/>
      <c r="P101" s="53"/>
      <c r="S101" s="31">
        <f t="shared" si="14"/>
        <v>100</v>
      </c>
    </row>
    <row r="102" spans="1:19">
      <c r="A102" s="51" t="str">
        <f t="shared" si="15"/>
        <v>10|10</v>
      </c>
      <c r="B102" s="52" t="s">
        <v>504</v>
      </c>
      <c r="C102" s="47" t="s">
        <v>493</v>
      </c>
      <c r="D102" s="48"/>
      <c r="E102" s="54">
        <v>10</v>
      </c>
      <c r="F102" s="54">
        <v>15</v>
      </c>
      <c r="G102" s="54">
        <v>15</v>
      </c>
      <c r="H102" s="54">
        <v>15</v>
      </c>
      <c r="I102" s="54">
        <v>15</v>
      </c>
      <c r="J102" s="53">
        <v>15</v>
      </c>
      <c r="K102" s="53">
        <v>10</v>
      </c>
      <c r="L102" s="53">
        <v>5</v>
      </c>
      <c r="M102" s="53"/>
      <c r="N102" s="53"/>
      <c r="O102" s="53"/>
      <c r="P102" s="53"/>
      <c r="S102" s="31">
        <f t="shared" si="14"/>
        <v>100</v>
      </c>
    </row>
    <row r="103" spans="1:19">
      <c r="A103" s="51" t="str">
        <f t="shared" si="15"/>
        <v>10|11</v>
      </c>
      <c r="B103" s="52" t="s">
        <v>758</v>
      </c>
      <c r="C103" s="47" t="s">
        <v>796</v>
      </c>
      <c r="D103" s="48"/>
      <c r="E103" s="54">
        <v>2</v>
      </c>
      <c r="F103" s="54">
        <v>2</v>
      </c>
      <c r="G103" s="54">
        <v>14</v>
      </c>
      <c r="H103" s="54">
        <v>14</v>
      </c>
      <c r="I103" s="54">
        <v>15</v>
      </c>
      <c r="J103" s="53">
        <v>15</v>
      </c>
      <c r="K103" s="53">
        <v>15</v>
      </c>
      <c r="L103" s="53">
        <v>15</v>
      </c>
      <c r="M103" s="53">
        <v>5</v>
      </c>
      <c r="N103" s="53">
        <v>3</v>
      </c>
      <c r="O103" s="53"/>
      <c r="P103" s="53"/>
      <c r="S103" s="31">
        <f t="shared" si="14"/>
        <v>100</v>
      </c>
    </row>
    <row r="104" spans="1:19" ht="5.45" customHeight="1"/>
    <row r="105" spans="1:19" ht="13.5" thickBot="1">
      <c r="A105" s="55" t="s">
        <v>80</v>
      </c>
      <c r="B105" s="56">
        <v>11</v>
      </c>
      <c r="C105" s="57"/>
      <c r="D105" s="58"/>
      <c r="E105" s="44"/>
      <c r="F105" s="44"/>
      <c r="G105" s="44"/>
      <c r="H105" s="44"/>
      <c r="I105" s="44"/>
      <c r="J105" s="44"/>
      <c r="K105" s="44"/>
      <c r="L105" s="44"/>
      <c r="M105" s="44"/>
      <c r="N105" s="44"/>
      <c r="O105" s="44"/>
      <c r="P105" s="44"/>
    </row>
    <row r="106" spans="1:19" ht="13.5" thickTop="1">
      <c r="A106" s="59" t="str">
        <f>CONCATENATE($B$105,"|",B106)</f>
        <v>11|1</v>
      </c>
      <c r="B106" s="46">
        <v>1</v>
      </c>
      <c r="C106" s="47" t="s">
        <v>494</v>
      </c>
      <c r="D106" s="48">
        <v>1</v>
      </c>
      <c r="E106" s="49">
        <v>10</v>
      </c>
      <c r="F106" s="49">
        <v>20</v>
      </c>
      <c r="G106" s="49">
        <v>20</v>
      </c>
      <c r="H106" s="49">
        <v>20</v>
      </c>
      <c r="I106" s="49">
        <v>10</v>
      </c>
      <c r="J106" s="50">
        <v>10</v>
      </c>
      <c r="K106" s="50">
        <v>10</v>
      </c>
      <c r="L106" s="50"/>
      <c r="M106" s="50"/>
      <c r="N106" s="50"/>
      <c r="O106" s="50"/>
      <c r="P106" s="50"/>
      <c r="S106" s="31">
        <f>SUM(E106:P106)</f>
        <v>100</v>
      </c>
    </row>
    <row r="107" spans="1:19">
      <c r="A107" s="51" t="str">
        <f>CONCATENATE($B$105,"|",B107)</f>
        <v>11|2</v>
      </c>
      <c r="B107" s="52" t="s">
        <v>189</v>
      </c>
      <c r="C107" s="47" t="s">
        <v>490</v>
      </c>
      <c r="D107" s="48">
        <v>2</v>
      </c>
      <c r="E107" s="49">
        <v>5</v>
      </c>
      <c r="F107" s="49">
        <v>10</v>
      </c>
      <c r="G107" s="49">
        <v>10</v>
      </c>
      <c r="H107" s="49">
        <v>15</v>
      </c>
      <c r="I107" s="49">
        <v>15</v>
      </c>
      <c r="J107" s="53">
        <v>15</v>
      </c>
      <c r="K107" s="53">
        <v>15</v>
      </c>
      <c r="L107" s="53">
        <v>10</v>
      </c>
      <c r="M107" s="53">
        <v>5</v>
      </c>
      <c r="N107" s="53"/>
      <c r="O107" s="53"/>
      <c r="P107" s="53"/>
      <c r="S107" s="31">
        <f t="shared" ref="S107:S116" si="16">SUM(E107:P107)</f>
        <v>100</v>
      </c>
    </row>
    <row r="108" spans="1:19">
      <c r="A108" s="51" t="str">
        <f t="shared" ref="A108:A116" si="17">CONCATENATE($B$105,"|",B108)</f>
        <v>11|3</v>
      </c>
      <c r="B108" s="52" t="s">
        <v>213</v>
      </c>
      <c r="C108" s="47" t="s">
        <v>496</v>
      </c>
      <c r="D108" s="48">
        <v>3</v>
      </c>
      <c r="E108" s="54"/>
      <c r="F108" s="54">
        <v>5</v>
      </c>
      <c r="G108" s="54">
        <v>10</v>
      </c>
      <c r="H108" s="54">
        <v>10</v>
      </c>
      <c r="I108" s="54">
        <v>15</v>
      </c>
      <c r="J108" s="53">
        <v>15</v>
      </c>
      <c r="K108" s="53">
        <v>15</v>
      </c>
      <c r="L108" s="53">
        <v>10</v>
      </c>
      <c r="M108" s="53">
        <v>10</v>
      </c>
      <c r="N108" s="53">
        <v>10</v>
      </c>
      <c r="O108" s="53"/>
      <c r="P108" s="53"/>
      <c r="S108" s="31">
        <f t="shared" si="16"/>
        <v>100</v>
      </c>
    </row>
    <row r="109" spans="1:19">
      <c r="A109" s="51" t="str">
        <f t="shared" si="17"/>
        <v>11|4</v>
      </c>
      <c r="B109" s="52" t="s">
        <v>231</v>
      </c>
      <c r="C109" s="47" t="s">
        <v>491</v>
      </c>
      <c r="D109" s="48">
        <v>4</v>
      </c>
      <c r="E109" s="54"/>
      <c r="F109" s="54"/>
      <c r="G109" s="54">
        <v>5</v>
      </c>
      <c r="H109" s="54">
        <v>10</v>
      </c>
      <c r="I109" s="54">
        <v>10</v>
      </c>
      <c r="J109" s="53">
        <v>15</v>
      </c>
      <c r="K109" s="53">
        <v>15</v>
      </c>
      <c r="L109" s="53">
        <v>15</v>
      </c>
      <c r="M109" s="53">
        <v>10</v>
      </c>
      <c r="N109" s="53">
        <v>10</v>
      </c>
      <c r="O109" s="53">
        <v>10</v>
      </c>
      <c r="P109" s="53"/>
      <c r="S109" s="31">
        <f t="shared" si="16"/>
        <v>100</v>
      </c>
    </row>
    <row r="110" spans="1:19">
      <c r="A110" s="51" t="str">
        <f t="shared" si="17"/>
        <v>11|5</v>
      </c>
      <c r="B110" s="52" t="s">
        <v>188</v>
      </c>
      <c r="C110" s="47" t="s">
        <v>492</v>
      </c>
      <c r="D110" s="48">
        <v>5</v>
      </c>
      <c r="E110" s="54"/>
      <c r="F110" s="54"/>
      <c r="G110" s="54">
        <v>10</v>
      </c>
      <c r="H110" s="54">
        <v>10</v>
      </c>
      <c r="I110" s="54">
        <v>10</v>
      </c>
      <c r="J110" s="53">
        <v>15</v>
      </c>
      <c r="K110" s="53">
        <v>15</v>
      </c>
      <c r="L110" s="53">
        <v>15</v>
      </c>
      <c r="M110" s="53">
        <v>15</v>
      </c>
      <c r="N110" s="53">
        <v>10</v>
      </c>
      <c r="O110" s="53"/>
      <c r="P110" s="53"/>
      <c r="S110" s="31">
        <f t="shared" si="16"/>
        <v>100</v>
      </c>
    </row>
    <row r="111" spans="1:19">
      <c r="A111" s="51" t="str">
        <f t="shared" si="17"/>
        <v>11|6</v>
      </c>
      <c r="B111" s="52" t="s">
        <v>233</v>
      </c>
      <c r="C111" s="47" t="s">
        <v>498</v>
      </c>
      <c r="D111" s="48">
        <v>3</v>
      </c>
      <c r="E111" s="54"/>
      <c r="F111" s="54"/>
      <c r="G111" s="54"/>
      <c r="H111" s="54">
        <v>5</v>
      </c>
      <c r="I111" s="54">
        <v>10</v>
      </c>
      <c r="J111" s="54">
        <v>15</v>
      </c>
      <c r="K111" s="53">
        <v>15</v>
      </c>
      <c r="L111" s="53">
        <v>15</v>
      </c>
      <c r="M111" s="53">
        <v>15</v>
      </c>
      <c r="N111" s="53">
        <v>15</v>
      </c>
      <c r="O111" s="53">
        <v>10</v>
      </c>
      <c r="P111" s="53"/>
      <c r="S111" s="31">
        <f t="shared" si="16"/>
        <v>100</v>
      </c>
    </row>
    <row r="112" spans="1:19">
      <c r="A112" s="51" t="str">
        <f t="shared" si="17"/>
        <v>11|7</v>
      </c>
      <c r="B112" s="52" t="s">
        <v>471</v>
      </c>
      <c r="C112" s="47" t="s">
        <v>499</v>
      </c>
      <c r="D112" s="48">
        <v>5</v>
      </c>
      <c r="E112" s="54"/>
      <c r="F112" s="54"/>
      <c r="G112" s="54"/>
      <c r="H112" s="54">
        <v>10</v>
      </c>
      <c r="I112" s="54">
        <v>10</v>
      </c>
      <c r="J112" s="53">
        <v>15</v>
      </c>
      <c r="K112" s="53">
        <v>20</v>
      </c>
      <c r="L112" s="53">
        <v>15</v>
      </c>
      <c r="M112" s="53">
        <v>10</v>
      </c>
      <c r="N112" s="53">
        <v>10</v>
      </c>
      <c r="O112" s="53">
        <v>10</v>
      </c>
      <c r="P112" s="53"/>
      <c r="S112" s="31">
        <f t="shared" si="16"/>
        <v>100</v>
      </c>
    </row>
    <row r="113" spans="1:19">
      <c r="A113" s="51" t="str">
        <f t="shared" si="17"/>
        <v>11|8</v>
      </c>
      <c r="B113" s="52" t="s">
        <v>338</v>
      </c>
      <c r="C113" s="47" t="s">
        <v>501</v>
      </c>
      <c r="D113" s="48">
        <v>6</v>
      </c>
      <c r="E113" s="54"/>
      <c r="F113" s="54"/>
      <c r="G113" s="54"/>
      <c r="H113" s="54">
        <v>10</v>
      </c>
      <c r="I113" s="54">
        <v>10</v>
      </c>
      <c r="J113" s="53">
        <v>20</v>
      </c>
      <c r="K113" s="53">
        <v>20</v>
      </c>
      <c r="L113" s="53">
        <v>10</v>
      </c>
      <c r="M113" s="53">
        <v>10</v>
      </c>
      <c r="N113" s="53">
        <v>10</v>
      </c>
      <c r="O113" s="53">
        <v>10</v>
      </c>
      <c r="P113" s="53"/>
      <c r="S113" s="31">
        <f t="shared" si="16"/>
        <v>100</v>
      </c>
    </row>
    <row r="114" spans="1:19">
      <c r="A114" s="51" t="str">
        <f t="shared" si="17"/>
        <v>11|9</v>
      </c>
      <c r="B114" s="52" t="s">
        <v>502</v>
      </c>
      <c r="C114" s="47" t="s">
        <v>503</v>
      </c>
      <c r="D114" s="48">
        <v>6</v>
      </c>
      <c r="E114" s="54">
        <v>5</v>
      </c>
      <c r="F114" s="54">
        <v>5</v>
      </c>
      <c r="G114" s="54">
        <v>10</v>
      </c>
      <c r="H114" s="54">
        <v>10</v>
      </c>
      <c r="I114" s="54">
        <v>10</v>
      </c>
      <c r="J114" s="53">
        <v>10</v>
      </c>
      <c r="K114" s="53">
        <v>10</v>
      </c>
      <c r="L114" s="53">
        <v>10</v>
      </c>
      <c r="M114" s="53">
        <v>10</v>
      </c>
      <c r="N114" s="53">
        <v>10</v>
      </c>
      <c r="O114" s="53">
        <v>10</v>
      </c>
      <c r="P114" s="53"/>
      <c r="S114" s="31">
        <f t="shared" si="16"/>
        <v>100</v>
      </c>
    </row>
    <row r="115" spans="1:19">
      <c r="A115" s="51" t="str">
        <f t="shared" si="17"/>
        <v>11|10</v>
      </c>
      <c r="B115" s="52" t="s">
        <v>504</v>
      </c>
      <c r="C115" s="47" t="s">
        <v>493</v>
      </c>
      <c r="D115" s="48"/>
      <c r="E115" s="54">
        <v>10</v>
      </c>
      <c r="F115" s="54">
        <v>10</v>
      </c>
      <c r="G115" s="54">
        <v>15</v>
      </c>
      <c r="H115" s="54">
        <v>15</v>
      </c>
      <c r="I115" s="54">
        <v>15</v>
      </c>
      <c r="J115" s="53">
        <v>10</v>
      </c>
      <c r="K115" s="53">
        <v>10</v>
      </c>
      <c r="L115" s="53">
        <v>10</v>
      </c>
      <c r="M115" s="53">
        <v>5</v>
      </c>
      <c r="N115" s="53"/>
      <c r="O115" s="53"/>
      <c r="P115" s="53"/>
      <c r="S115" s="31">
        <f t="shared" si="16"/>
        <v>100</v>
      </c>
    </row>
    <row r="116" spans="1:19">
      <c r="A116" s="51" t="str">
        <f t="shared" si="17"/>
        <v>11|11</v>
      </c>
      <c r="B116" s="52" t="s">
        <v>758</v>
      </c>
      <c r="C116" s="47" t="s">
        <v>796</v>
      </c>
      <c r="D116" s="48"/>
      <c r="E116" s="54">
        <v>1</v>
      </c>
      <c r="F116" s="54">
        <v>1</v>
      </c>
      <c r="G116" s="54">
        <v>10</v>
      </c>
      <c r="H116" s="54">
        <v>15</v>
      </c>
      <c r="I116" s="54">
        <v>15</v>
      </c>
      <c r="J116" s="53">
        <v>15</v>
      </c>
      <c r="K116" s="53">
        <v>15</v>
      </c>
      <c r="L116" s="53">
        <v>15</v>
      </c>
      <c r="M116" s="53">
        <v>5</v>
      </c>
      <c r="N116" s="53">
        <v>3</v>
      </c>
      <c r="O116" s="53">
        <v>5</v>
      </c>
      <c r="P116" s="53"/>
      <c r="S116" s="31">
        <f t="shared" si="16"/>
        <v>100</v>
      </c>
    </row>
    <row r="117" spans="1:19" ht="5.45" customHeight="1"/>
    <row r="118" spans="1:19" ht="13.5" thickBot="1">
      <c r="A118" s="55" t="s">
        <v>80</v>
      </c>
      <c r="B118" s="56">
        <v>12</v>
      </c>
      <c r="C118" s="57"/>
      <c r="D118" s="58"/>
      <c r="E118" s="44"/>
      <c r="F118" s="44"/>
      <c r="G118" s="44"/>
      <c r="H118" s="44"/>
      <c r="I118" s="44"/>
      <c r="J118" s="44"/>
      <c r="K118" s="44"/>
      <c r="L118" s="44"/>
      <c r="M118" s="44"/>
      <c r="N118" s="44"/>
      <c r="O118" s="44"/>
      <c r="P118" s="44"/>
    </row>
    <row r="119" spans="1:19" ht="13.5" thickTop="1">
      <c r="A119" s="59" t="str">
        <f>CONCATENATE($B$118,"|",B119)</f>
        <v>12|1</v>
      </c>
      <c r="B119" s="46">
        <v>1</v>
      </c>
      <c r="C119" s="47" t="s">
        <v>494</v>
      </c>
      <c r="D119" s="48">
        <v>1</v>
      </c>
      <c r="E119" s="49">
        <v>10</v>
      </c>
      <c r="F119" s="49">
        <v>20</v>
      </c>
      <c r="G119" s="49">
        <v>20</v>
      </c>
      <c r="H119" s="49">
        <v>20</v>
      </c>
      <c r="I119" s="49">
        <v>10</v>
      </c>
      <c r="J119" s="50">
        <v>10</v>
      </c>
      <c r="K119" s="50">
        <v>10</v>
      </c>
      <c r="L119" s="50"/>
      <c r="M119" s="50"/>
      <c r="N119" s="50"/>
      <c r="O119" s="50"/>
      <c r="P119" s="50"/>
      <c r="S119" s="31">
        <f>SUM(E119:P119)</f>
        <v>100</v>
      </c>
    </row>
    <row r="120" spans="1:19">
      <c r="A120" s="51" t="str">
        <f>CONCATENATE($B$118,"|",B120)</f>
        <v>12|2</v>
      </c>
      <c r="B120" s="52" t="s">
        <v>189</v>
      </c>
      <c r="C120" s="47" t="s">
        <v>490</v>
      </c>
      <c r="D120" s="48">
        <v>2</v>
      </c>
      <c r="E120" s="49">
        <v>5</v>
      </c>
      <c r="F120" s="49">
        <v>10</v>
      </c>
      <c r="G120" s="49">
        <v>10</v>
      </c>
      <c r="H120" s="49">
        <v>15</v>
      </c>
      <c r="I120" s="49">
        <v>15</v>
      </c>
      <c r="J120" s="53">
        <v>15</v>
      </c>
      <c r="K120" s="53">
        <v>10</v>
      </c>
      <c r="L120" s="53">
        <v>10</v>
      </c>
      <c r="M120" s="53">
        <v>10</v>
      </c>
      <c r="N120" s="53"/>
      <c r="O120" s="53"/>
      <c r="P120" s="53"/>
      <c r="S120" s="31">
        <f t="shared" ref="S120:S129" si="18">SUM(E120:P120)</f>
        <v>100</v>
      </c>
    </row>
    <row r="121" spans="1:19">
      <c r="A121" s="51" t="str">
        <f t="shared" ref="A121:A129" si="19">CONCATENATE($B$118,"|",B121)</f>
        <v>12|3</v>
      </c>
      <c r="B121" s="52" t="s">
        <v>213</v>
      </c>
      <c r="C121" s="47" t="s">
        <v>496</v>
      </c>
      <c r="D121" s="48">
        <v>3</v>
      </c>
      <c r="E121" s="54"/>
      <c r="F121" s="54">
        <v>5</v>
      </c>
      <c r="G121" s="54">
        <v>10</v>
      </c>
      <c r="H121" s="54">
        <v>10</v>
      </c>
      <c r="I121" s="54">
        <v>10</v>
      </c>
      <c r="J121" s="53">
        <v>15</v>
      </c>
      <c r="K121" s="53">
        <v>15</v>
      </c>
      <c r="L121" s="53">
        <v>10</v>
      </c>
      <c r="M121" s="53">
        <v>10</v>
      </c>
      <c r="N121" s="53">
        <v>10</v>
      </c>
      <c r="O121" s="53">
        <v>5</v>
      </c>
      <c r="P121" s="53"/>
      <c r="S121" s="31">
        <f t="shared" si="18"/>
        <v>100</v>
      </c>
    </row>
    <row r="122" spans="1:19">
      <c r="A122" s="51" t="str">
        <f t="shared" si="19"/>
        <v>12|4</v>
      </c>
      <c r="B122" s="52" t="s">
        <v>231</v>
      </c>
      <c r="C122" s="47" t="s">
        <v>491</v>
      </c>
      <c r="D122" s="48">
        <v>4</v>
      </c>
      <c r="E122" s="54"/>
      <c r="F122" s="54"/>
      <c r="G122" s="54">
        <v>5</v>
      </c>
      <c r="H122" s="54">
        <v>10</v>
      </c>
      <c r="I122" s="54">
        <v>10</v>
      </c>
      <c r="J122" s="53">
        <v>10</v>
      </c>
      <c r="K122" s="53">
        <v>10</v>
      </c>
      <c r="L122" s="53">
        <v>15</v>
      </c>
      <c r="M122" s="53">
        <v>10</v>
      </c>
      <c r="N122" s="53">
        <v>15</v>
      </c>
      <c r="O122" s="53">
        <v>10</v>
      </c>
      <c r="P122" s="53">
        <v>5</v>
      </c>
      <c r="S122" s="31">
        <f t="shared" si="18"/>
        <v>100</v>
      </c>
    </row>
    <row r="123" spans="1:19">
      <c r="A123" s="51" t="str">
        <f t="shared" si="19"/>
        <v>12|5</v>
      </c>
      <c r="B123" s="52" t="s">
        <v>188</v>
      </c>
      <c r="C123" s="47" t="s">
        <v>492</v>
      </c>
      <c r="D123" s="48">
        <v>5</v>
      </c>
      <c r="E123" s="54"/>
      <c r="F123" s="54"/>
      <c r="G123" s="54">
        <v>10</v>
      </c>
      <c r="H123" s="54">
        <v>10</v>
      </c>
      <c r="I123" s="54">
        <v>10</v>
      </c>
      <c r="J123" s="53">
        <v>10</v>
      </c>
      <c r="K123" s="53">
        <v>10</v>
      </c>
      <c r="L123" s="53">
        <v>15</v>
      </c>
      <c r="M123" s="53">
        <v>15</v>
      </c>
      <c r="N123" s="53">
        <v>10</v>
      </c>
      <c r="O123" s="53">
        <v>10</v>
      </c>
      <c r="P123" s="53"/>
      <c r="S123" s="31">
        <f t="shared" si="18"/>
        <v>100</v>
      </c>
    </row>
    <row r="124" spans="1:19">
      <c r="A124" s="51" t="str">
        <f t="shared" si="19"/>
        <v>12|6</v>
      </c>
      <c r="B124" s="52" t="s">
        <v>233</v>
      </c>
      <c r="C124" s="47" t="s">
        <v>498</v>
      </c>
      <c r="D124" s="48">
        <v>3</v>
      </c>
      <c r="E124" s="54"/>
      <c r="F124" s="54"/>
      <c r="G124" s="54"/>
      <c r="H124" s="54">
        <v>5</v>
      </c>
      <c r="I124" s="54">
        <v>10</v>
      </c>
      <c r="J124" s="54">
        <v>10</v>
      </c>
      <c r="K124" s="53">
        <v>10</v>
      </c>
      <c r="L124" s="53">
        <v>15</v>
      </c>
      <c r="M124" s="53">
        <v>15</v>
      </c>
      <c r="N124" s="53">
        <v>15</v>
      </c>
      <c r="O124" s="53">
        <v>10</v>
      </c>
      <c r="P124" s="53">
        <v>10</v>
      </c>
      <c r="S124" s="31">
        <f t="shared" si="18"/>
        <v>100</v>
      </c>
    </row>
    <row r="125" spans="1:19">
      <c r="A125" s="51" t="str">
        <f t="shared" si="19"/>
        <v>12|7</v>
      </c>
      <c r="B125" s="52" t="s">
        <v>471</v>
      </c>
      <c r="C125" s="47" t="s">
        <v>499</v>
      </c>
      <c r="D125" s="48">
        <v>5</v>
      </c>
      <c r="E125" s="54"/>
      <c r="F125" s="54"/>
      <c r="G125" s="54"/>
      <c r="H125" s="54">
        <v>5</v>
      </c>
      <c r="I125" s="54">
        <v>10</v>
      </c>
      <c r="J125" s="53">
        <v>10</v>
      </c>
      <c r="K125" s="53">
        <v>15</v>
      </c>
      <c r="L125" s="53">
        <v>15</v>
      </c>
      <c r="M125" s="53">
        <v>15</v>
      </c>
      <c r="N125" s="53">
        <v>10</v>
      </c>
      <c r="O125" s="53">
        <v>10</v>
      </c>
      <c r="P125" s="53">
        <v>10</v>
      </c>
      <c r="S125" s="31">
        <f t="shared" si="18"/>
        <v>100</v>
      </c>
    </row>
    <row r="126" spans="1:19">
      <c r="A126" s="51" t="str">
        <f t="shared" si="19"/>
        <v>12|8</v>
      </c>
      <c r="B126" s="52" t="s">
        <v>338</v>
      </c>
      <c r="C126" s="47" t="s">
        <v>501</v>
      </c>
      <c r="D126" s="48">
        <v>6</v>
      </c>
      <c r="E126" s="54"/>
      <c r="F126" s="54"/>
      <c r="G126" s="54"/>
      <c r="H126" s="54">
        <v>10</v>
      </c>
      <c r="I126" s="54">
        <v>10</v>
      </c>
      <c r="J126" s="53">
        <v>10</v>
      </c>
      <c r="K126" s="53">
        <v>20</v>
      </c>
      <c r="L126" s="53">
        <v>10</v>
      </c>
      <c r="M126" s="53">
        <v>10</v>
      </c>
      <c r="N126" s="53">
        <v>10</v>
      </c>
      <c r="O126" s="53">
        <v>10</v>
      </c>
      <c r="P126" s="53">
        <v>10</v>
      </c>
      <c r="S126" s="31">
        <f t="shared" si="18"/>
        <v>100</v>
      </c>
    </row>
    <row r="127" spans="1:19">
      <c r="A127" s="51" t="str">
        <f t="shared" si="19"/>
        <v>12|9</v>
      </c>
      <c r="B127" s="52" t="s">
        <v>502</v>
      </c>
      <c r="C127" s="47" t="s">
        <v>503</v>
      </c>
      <c r="D127" s="48">
        <v>6</v>
      </c>
      <c r="E127" s="54">
        <v>5</v>
      </c>
      <c r="F127" s="54">
        <v>5</v>
      </c>
      <c r="G127" s="54">
        <v>5</v>
      </c>
      <c r="H127" s="54">
        <v>5</v>
      </c>
      <c r="I127" s="54">
        <v>10</v>
      </c>
      <c r="J127" s="53">
        <v>10</v>
      </c>
      <c r="K127" s="53">
        <v>10</v>
      </c>
      <c r="L127" s="53">
        <v>10</v>
      </c>
      <c r="M127" s="53">
        <v>10</v>
      </c>
      <c r="N127" s="53">
        <v>10</v>
      </c>
      <c r="O127" s="53">
        <v>10</v>
      </c>
      <c r="P127" s="53">
        <v>10</v>
      </c>
      <c r="S127" s="31">
        <f t="shared" si="18"/>
        <v>100</v>
      </c>
    </row>
    <row r="128" spans="1:19">
      <c r="A128" s="51" t="str">
        <f t="shared" si="19"/>
        <v>12|10</v>
      </c>
      <c r="B128" s="52" t="s">
        <v>504</v>
      </c>
      <c r="C128" s="47" t="s">
        <v>493</v>
      </c>
      <c r="D128" s="48"/>
      <c r="E128" s="54">
        <v>10</v>
      </c>
      <c r="F128" s="54">
        <v>15</v>
      </c>
      <c r="G128" s="54">
        <v>10</v>
      </c>
      <c r="H128" s="54">
        <v>10</v>
      </c>
      <c r="I128" s="54">
        <v>10</v>
      </c>
      <c r="J128" s="53">
        <v>10</v>
      </c>
      <c r="K128" s="53">
        <v>10</v>
      </c>
      <c r="L128" s="53">
        <v>10</v>
      </c>
      <c r="M128" s="53">
        <v>10</v>
      </c>
      <c r="N128" s="53">
        <v>5</v>
      </c>
      <c r="O128" s="53"/>
      <c r="P128" s="53"/>
      <c r="S128" s="31">
        <f t="shared" si="18"/>
        <v>100</v>
      </c>
    </row>
    <row r="129" spans="1:19">
      <c r="A129" s="51" t="str">
        <f t="shared" si="19"/>
        <v>12|11</v>
      </c>
      <c r="B129" s="52" t="s">
        <v>758</v>
      </c>
      <c r="C129" s="47" t="s">
        <v>796</v>
      </c>
      <c r="D129" s="48"/>
      <c r="E129" s="54">
        <v>1</v>
      </c>
      <c r="F129" s="54">
        <v>1</v>
      </c>
      <c r="G129" s="54">
        <v>10</v>
      </c>
      <c r="H129" s="54">
        <v>10</v>
      </c>
      <c r="I129" s="54">
        <v>15</v>
      </c>
      <c r="J129" s="53">
        <v>15</v>
      </c>
      <c r="K129" s="53">
        <v>15</v>
      </c>
      <c r="L129" s="53">
        <v>15</v>
      </c>
      <c r="M129" s="53">
        <v>5</v>
      </c>
      <c r="N129" s="53">
        <v>3</v>
      </c>
      <c r="O129" s="53">
        <v>5</v>
      </c>
      <c r="P129" s="53">
        <v>5</v>
      </c>
      <c r="S129" s="31">
        <f t="shared" si="18"/>
        <v>100</v>
      </c>
    </row>
    <row r="131" spans="1:19">
      <c r="S131" s="31">
        <f>SUM(S2:S129)</f>
        <v>11000</v>
      </c>
    </row>
  </sheetData>
  <sheetProtection sheet="1" objects="1" scenarios="1"/>
  <printOptions horizontalCentered="1" verticalCentered="1"/>
  <pageMargins left="0.78740157480314965" right="0.78740157480314965" top="0.98425196850393704" bottom="0.59055118110236227" header="0.51181102362204722" footer="0.51181102362204722"/>
  <pageSetup paperSize="8" scale="94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131"/>
  <sheetViews>
    <sheetView showZeros="0" topLeftCell="D112" zoomScale="112" zoomScaleNormal="112" workbookViewId="0">
      <selection sqref="A1:C1"/>
    </sheetView>
  </sheetViews>
  <sheetFormatPr defaultColWidth="10.6640625" defaultRowHeight="12.75"/>
  <cols>
    <col min="1" max="1" width="10.6640625" style="31" customWidth="1"/>
    <col min="2" max="2" width="13.1640625" style="31" customWidth="1"/>
    <col min="3" max="3" width="38" style="31" customWidth="1"/>
    <col min="4" max="4" width="3.83203125" style="31" customWidth="1"/>
    <col min="5" max="16" width="10" style="31" customWidth="1"/>
    <col min="17" max="17" width="10.6640625" style="31" customWidth="1"/>
    <col min="18" max="255" width="10.6640625" style="31"/>
    <col min="256" max="256" width="13.1640625" style="31" customWidth="1"/>
    <col min="257" max="257" width="79" style="31" customWidth="1"/>
    <col min="258" max="258" width="3.83203125" style="31" customWidth="1"/>
    <col min="259" max="271" width="12.5" style="31" customWidth="1"/>
    <col min="272" max="272" width="8.5" style="31" customWidth="1"/>
    <col min="273" max="511" width="10.6640625" style="31"/>
    <col min="512" max="512" width="13.1640625" style="31" customWidth="1"/>
    <col min="513" max="513" width="79" style="31" customWidth="1"/>
    <col min="514" max="514" width="3.83203125" style="31" customWidth="1"/>
    <col min="515" max="527" width="12.5" style="31" customWidth="1"/>
    <col min="528" max="528" width="8.5" style="31" customWidth="1"/>
    <col min="529" max="767" width="10.6640625" style="31"/>
    <col min="768" max="768" width="13.1640625" style="31" customWidth="1"/>
    <col min="769" max="769" width="79" style="31" customWidth="1"/>
    <col min="770" max="770" width="3.83203125" style="31" customWidth="1"/>
    <col min="771" max="783" width="12.5" style="31" customWidth="1"/>
    <col min="784" max="784" width="8.5" style="31" customWidth="1"/>
    <col min="785" max="1023" width="10.6640625" style="31"/>
    <col min="1024" max="1024" width="13.1640625" style="31" customWidth="1"/>
    <col min="1025" max="1025" width="79" style="31" customWidth="1"/>
    <col min="1026" max="1026" width="3.83203125" style="31" customWidth="1"/>
    <col min="1027" max="1039" width="12.5" style="31" customWidth="1"/>
    <col min="1040" max="1040" width="8.5" style="31" customWidth="1"/>
    <col min="1041" max="1279" width="10.6640625" style="31"/>
    <col min="1280" max="1280" width="13.1640625" style="31" customWidth="1"/>
    <col min="1281" max="1281" width="79" style="31" customWidth="1"/>
    <col min="1282" max="1282" width="3.83203125" style="31" customWidth="1"/>
    <col min="1283" max="1295" width="12.5" style="31" customWidth="1"/>
    <col min="1296" max="1296" width="8.5" style="31" customWidth="1"/>
    <col min="1297" max="1535" width="10.6640625" style="31"/>
    <col min="1536" max="1536" width="13.1640625" style="31" customWidth="1"/>
    <col min="1537" max="1537" width="79" style="31" customWidth="1"/>
    <col min="1538" max="1538" width="3.83203125" style="31" customWidth="1"/>
    <col min="1539" max="1551" width="12.5" style="31" customWidth="1"/>
    <col min="1552" max="1552" width="8.5" style="31" customWidth="1"/>
    <col min="1553" max="1791" width="10.6640625" style="31"/>
    <col min="1792" max="1792" width="13.1640625" style="31" customWidth="1"/>
    <col min="1793" max="1793" width="79" style="31" customWidth="1"/>
    <col min="1794" max="1794" width="3.83203125" style="31" customWidth="1"/>
    <col min="1795" max="1807" width="12.5" style="31" customWidth="1"/>
    <col min="1808" max="1808" width="8.5" style="31" customWidth="1"/>
    <col min="1809" max="2047" width="10.6640625" style="31"/>
    <col min="2048" max="2048" width="13.1640625" style="31" customWidth="1"/>
    <col min="2049" max="2049" width="79" style="31" customWidth="1"/>
    <col min="2050" max="2050" width="3.83203125" style="31" customWidth="1"/>
    <col min="2051" max="2063" width="12.5" style="31" customWidth="1"/>
    <col min="2064" max="2064" width="8.5" style="31" customWidth="1"/>
    <col min="2065" max="2303" width="10.6640625" style="31"/>
    <col min="2304" max="2304" width="13.1640625" style="31" customWidth="1"/>
    <col min="2305" max="2305" width="79" style="31" customWidth="1"/>
    <col min="2306" max="2306" width="3.83203125" style="31" customWidth="1"/>
    <col min="2307" max="2319" width="12.5" style="31" customWidth="1"/>
    <col min="2320" max="2320" width="8.5" style="31" customWidth="1"/>
    <col min="2321" max="2559" width="10.6640625" style="31"/>
    <col min="2560" max="2560" width="13.1640625" style="31" customWidth="1"/>
    <col min="2561" max="2561" width="79" style="31" customWidth="1"/>
    <col min="2562" max="2562" width="3.83203125" style="31" customWidth="1"/>
    <col min="2563" max="2575" width="12.5" style="31" customWidth="1"/>
    <col min="2576" max="2576" width="8.5" style="31" customWidth="1"/>
    <col min="2577" max="2815" width="10.6640625" style="31"/>
    <col min="2816" max="2816" width="13.1640625" style="31" customWidth="1"/>
    <col min="2817" max="2817" width="79" style="31" customWidth="1"/>
    <col min="2818" max="2818" width="3.83203125" style="31" customWidth="1"/>
    <col min="2819" max="2831" width="12.5" style="31" customWidth="1"/>
    <col min="2832" max="2832" width="8.5" style="31" customWidth="1"/>
    <col min="2833" max="3071" width="10.6640625" style="31"/>
    <col min="3072" max="3072" width="13.1640625" style="31" customWidth="1"/>
    <col min="3073" max="3073" width="79" style="31" customWidth="1"/>
    <col min="3074" max="3074" width="3.83203125" style="31" customWidth="1"/>
    <col min="3075" max="3087" width="12.5" style="31" customWidth="1"/>
    <col min="3088" max="3088" width="8.5" style="31" customWidth="1"/>
    <col min="3089" max="3327" width="10.6640625" style="31"/>
    <col min="3328" max="3328" width="13.1640625" style="31" customWidth="1"/>
    <col min="3329" max="3329" width="79" style="31" customWidth="1"/>
    <col min="3330" max="3330" width="3.83203125" style="31" customWidth="1"/>
    <col min="3331" max="3343" width="12.5" style="31" customWidth="1"/>
    <col min="3344" max="3344" width="8.5" style="31" customWidth="1"/>
    <col min="3345" max="3583" width="10.6640625" style="31"/>
    <col min="3584" max="3584" width="13.1640625" style="31" customWidth="1"/>
    <col min="3585" max="3585" width="79" style="31" customWidth="1"/>
    <col min="3586" max="3586" width="3.83203125" style="31" customWidth="1"/>
    <col min="3587" max="3599" width="12.5" style="31" customWidth="1"/>
    <col min="3600" max="3600" width="8.5" style="31" customWidth="1"/>
    <col min="3601" max="3839" width="10.6640625" style="31"/>
    <col min="3840" max="3840" width="13.1640625" style="31" customWidth="1"/>
    <col min="3841" max="3841" width="79" style="31" customWidth="1"/>
    <col min="3842" max="3842" width="3.83203125" style="31" customWidth="1"/>
    <col min="3843" max="3855" width="12.5" style="31" customWidth="1"/>
    <col min="3856" max="3856" width="8.5" style="31" customWidth="1"/>
    <col min="3857" max="4095" width="10.6640625" style="31"/>
    <col min="4096" max="4096" width="13.1640625" style="31" customWidth="1"/>
    <col min="4097" max="4097" width="79" style="31" customWidth="1"/>
    <col min="4098" max="4098" width="3.83203125" style="31" customWidth="1"/>
    <col min="4099" max="4111" width="12.5" style="31" customWidth="1"/>
    <col min="4112" max="4112" width="8.5" style="31" customWidth="1"/>
    <col min="4113" max="4351" width="10.6640625" style="31"/>
    <col min="4352" max="4352" width="13.1640625" style="31" customWidth="1"/>
    <col min="4353" max="4353" width="79" style="31" customWidth="1"/>
    <col min="4354" max="4354" width="3.83203125" style="31" customWidth="1"/>
    <col min="4355" max="4367" width="12.5" style="31" customWidth="1"/>
    <col min="4368" max="4368" width="8.5" style="31" customWidth="1"/>
    <col min="4369" max="4607" width="10.6640625" style="31"/>
    <col min="4608" max="4608" width="13.1640625" style="31" customWidth="1"/>
    <col min="4609" max="4609" width="79" style="31" customWidth="1"/>
    <col min="4610" max="4610" width="3.83203125" style="31" customWidth="1"/>
    <col min="4611" max="4623" width="12.5" style="31" customWidth="1"/>
    <col min="4624" max="4624" width="8.5" style="31" customWidth="1"/>
    <col min="4625" max="4863" width="10.6640625" style="31"/>
    <col min="4864" max="4864" width="13.1640625" style="31" customWidth="1"/>
    <col min="4865" max="4865" width="79" style="31" customWidth="1"/>
    <col min="4866" max="4866" width="3.83203125" style="31" customWidth="1"/>
    <col min="4867" max="4879" width="12.5" style="31" customWidth="1"/>
    <col min="4880" max="4880" width="8.5" style="31" customWidth="1"/>
    <col min="4881" max="5119" width="10.6640625" style="31"/>
    <col min="5120" max="5120" width="13.1640625" style="31" customWidth="1"/>
    <col min="5121" max="5121" width="79" style="31" customWidth="1"/>
    <col min="5122" max="5122" width="3.83203125" style="31" customWidth="1"/>
    <col min="5123" max="5135" width="12.5" style="31" customWidth="1"/>
    <col min="5136" max="5136" width="8.5" style="31" customWidth="1"/>
    <col min="5137" max="5375" width="10.6640625" style="31"/>
    <col min="5376" max="5376" width="13.1640625" style="31" customWidth="1"/>
    <col min="5377" max="5377" width="79" style="31" customWidth="1"/>
    <col min="5378" max="5378" width="3.83203125" style="31" customWidth="1"/>
    <col min="5379" max="5391" width="12.5" style="31" customWidth="1"/>
    <col min="5392" max="5392" width="8.5" style="31" customWidth="1"/>
    <col min="5393" max="5631" width="10.6640625" style="31"/>
    <col min="5632" max="5632" width="13.1640625" style="31" customWidth="1"/>
    <col min="5633" max="5633" width="79" style="31" customWidth="1"/>
    <col min="5634" max="5634" width="3.83203125" style="31" customWidth="1"/>
    <col min="5635" max="5647" width="12.5" style="31" customWidth="1"/>
    <col min="5648" max="5648" width="8.5" style="31" customWidth="1"/>
    <col min="5649" max="5887" width="10.6640625" style="31"/>
    <col min="5888" max="5888" width="13.1640625" style="31" customWidth="1"/>
    <col min="5889" max="5889" width="79" style="31" customWidth="1"/>
    <col min="5890" max="5890" width="3.83203125" style="31" customWidth="1"/>
    <col min="5891" max="5903" width="12.5" style="31" customWidth="1"/>
    <col min="5904" max="5904" width="8.5" style="31" customWidth="1"/>
    <col min="5905" max="6143" width="10.6640625" style="31"/>
    <col min="6144" max="6144" width="13.1640625" style="31" customWidth="1"/>
    <col min="6145" max="6145" width="79" style="31" customWidth="1"/>
    <col min="6146" max="6146" width="3.83203125" style="31" customWidth="1"/>
    <col min="6147" max="6159" width="12.5" style="31" customWidth="1"/>
    <col min="6160" max="6160" width="8.5" style="31" customWidth="1"/>
    <col min="6161" max="6399" width="10.6640625" style="31"/>
    <col min="6400" max="6400" width="13.1640625" style="31" customWidth="1"/>
    <col min="6401" max="6401" width="79" style="31" customWidth="1"/>
    <col min="6402" max="6402" width="3.83203125" style="31" customWidth="1"/>
    <col min="6403" max="6415" width="12.5" style="31" customWidth="1"/>
    <col min="6416" max="6416" width="8.5" style="31" customWidth="1"/>
    <col min="6417" max="6655" width="10.6640625" style="31"/>
    <col min="6656" max="6656" width="13.1640625" style="31" customWidth="1"/>
    <col min="6657" max="6657" width="79" style="31" customWidth="1"/>
    <col min="6658" max="6658" width="3.83203125" style="31" customWidth="1"/>
    <col min="6659" max="6671" width="12.5" style="31" customWidth="1"/>
    <col min="6672" max="6672" width="8.5" style="31" customWidth="1"/>
    <col min="6673" max="6911" width="10.6640625" style="31"/>
    <col min="6912" max="6912" width="13.1640625" style="31" customWidth="1"/>
    <col min="6913" max="6913" width="79" style="31" customWidth="1"/>
    <col min="6914" max="6914" width="3.83203125" style="31" customWidth="1"/>
    <col min="6915" max="6927" width="12.5" style="31" customWidth="1"/>
    <col min="6928" max="6928" width="8.5" style="31" customWidth="1"/>
    <col min="6929" max="7167" width="10.6640625" style="31"/>
    <col min="7168" max="7168" width="13.1640625" style="31" customWidth="1"/>
    <col min="7169" max="7169" width="79" style="31" customWidth="1"/>
    <col min="7170" max="7170" width="3.83203125" style="31" customWidth="1"/>
    <col min="7171" max="7183" width="12.5" style="31" customWidth="1"/>
    <col min="7184" max="7184" width="8.5" style="31" customWidth="1"/>
    <col min="7185" max="7423" width="10.6640625" style="31"/>
    <col min="7424" max="7424" width="13.1640625" style="31" customWidth="1"/>
    <col min="7425" max="7425" width="79" style="31" customWidth="1"/>
    <col min="7426" max="7426" width="3.83203125" style="31" customWidth="1"/>
    <col min="7427" max="7439" width="12.5" style="31" customWidth="1"/>
    <col min="7440" max="7440" width="8.5" style="31" customWidth="1"/>
    <col min="7441" max="7679" width="10.6640625" style="31"/>
    <col min="7680" max="7680" width="13.1640625" style="31" customWidth="1"/>
    <col min="7681" max="7681" width="79" style="31" customWidth="1"/>
    <col min="7682" max="7682" width="3.83203125" style="31" customWidth="1"/>
    <col min="7683" max="7695" width="12.5" style="31" customWidth="1"/>
    <col min="7696" max="7696" width="8.5" style="31" customWidth="1"/>
    <col min="7697" max="7935" width="10.6640625" style="31"/>
    <col min="7936" max="7936" width="13.1640625" style="31" customWidth="1"/>
    <col min="7937" max="7937" width="79" style="31" customWidth="1"/>
    <col min="7938" max="7938" width="3.83203125" style="31" customWidth="1"/>
    <col min="7939" max="7951" width="12.5" style="31" customWidth="1"/>
    <col min="7952" max="7952" width="8.5" style="31" customWidth="1"/>
    <col min="7953" max="8191" width="10.6640625" style="31"/>
    <col min="8192" max="8192" width="13.1640625" style="31" customWidth="1"/>
    <col min="8193" max="8193" width="79" style="31" customWidth="1"/>
    <col min="8194" max="8194" width="3.83203125" style="31" customWidth="1"/>
    <col min="8195" max="8207" width="12.5" style="31" customWidth="1"/>
    <col min="8208" max="8208" width="8.5" style="31" customWidth="1"/>
    <col min="8209" max="8447" width="10.6640625" style="31"/>
    <col min="8448" max="8448" width="13.1640625" style="31" customWidth="1"/>
    <col min="8449" max="8449" width="79" style="31" customWidth="1"/>
    <col min="8450" max="8450" width="3.83203125" style="31" customWidth="1"/>
    <col min="8451" max="8463" width="12.5" style="31" customWidth="1"/>
    <col min="8464" max="8464" width="8.5" style="31" customWidth="1"/>
    <col min="8465" max="8703" width="10.6640625" style="31"/>
    <col min="8704" max="8704" width="13.1640625" style="31" customWidth="1"/>
    <col min="8705" max="8705" width="79" style="31" customWidth="1"/>
    <col min="8706" max="8706" width="3.83203125" style="31" customWidth="1"/>
    <col min="8707" max="8719" width="12.5" style="31" customWidth="1"/>
    <col min="8720" max="8720" width="8.5" style="31" customWidth="1"/>
    <col min="8721" max="8959" width="10.6640625" style="31"/>
    <col min="8960" max="8960" width="13.1640625" style="31" customWidth="1"/>
    <col min="8961" max="8961" width="79" style="31" customWidth="1"/>
    <col min="8962" max="8962" width="3.83203125" style="31" customWidth="1"/>
    <col min="8963" max="8975" width="12.5" style="31" customWidth="1"/>
    <col min="8976" max="8976" width="8.5" style="31" customWidth="1"/>
    <col min="8977" max="9215" width="10.6640625" style="31"/>
    <col min="9216" max="9216" width="13.1640625" style="31" customWidth="1"/>
    <col min="9217" max="9217" width="79" style="31" customWidth="1"/>
    <col min="9218" max="9218" width="3.83203125" style="31" customWidth="1"/>
    <col min="9219" max="9231" width="12.5" style="31" customWidth="1"/>
    <col min="9232" max="9232" width="8.5" style="31" customWidth="1"/>
    <col min="9233" max="9471" width="10.6640625" style="31"/>
    <col min="9472" max="9472" width="13.1640625" style="31" customWidth="1"/>
    <col min="9473" max="9473" width="79" style="31" customWidth="1"/>
    <col min="9474" max="9474" width="3.83203125" style="31" customWidth="1"/>
    <col min="9475" max="9487" width="12.5" style="31" customWidth="1"/>
    <col min="9488" max="9488" width="8.5" style="31" customWidth="1"/>
    <col min="9489" max="9727" width="10.6640625" style="31"/>
    <col min="9728" max="9728" width="13.1640625" style="31" customWidth="1"/>
    <col min="9729" max="9729" width="79" style="31" customWidth="1"/>
    <col min="9730" max="9730" width="3.83203125" style="31" customWidth="1"/>
    <col min="9731" max="9743" width="12.5" style="31" customWidth="1"/>
    <col min="9744" max="9744" width="8.5" style="31" customWidth="1"/>
    <col min="9745" max="9983" width="10.6640625" style="31"/>
    <col min="9984" max="9984" width="13.1640625" style="31" customWidth="1"/>
    <col min="9985" max="9985" width="79" style="31" customWidth="1"/>
    <col min="9986" max="9986" width="3.83203125" style="31" customWidth="1"/>
    <col min="9987" max="9999" width="12.5" style="31" customWidth="1"/>
    <col min="10000" max="10000" width="8.5" style="31" customWidth="1"/>
    <col min="10001" max="10239" width="10.6640625" style="31"/>
    <col min="10240" max="10240" width="13.1640625" style="31" customWidth="1"/>
    <col min="10241" max="10241" width="79" style="31" customWidth="1"/>
    <col min="10242" max="10242" width="3.83203125" style="31" customWidth="1"/>
    <col min="10243" max="10255" width="12.5" style="31" customWidth="1"/>
    <col min="10256" max="10256" width="8.5" style="31" customWidth="1"/>
    <col min="10257" max="10495" width="10.6640625" style="31"/>
    <col min="10496" max="10496" width="13.1640625" style="31" customWidth="1"/>
    <col min="10497" max="10497" width="79" style="31" customWidth="1"/>
    <col min="10498" max="10498" width="3.83203125" style="31" customWidth="1"/>
    <col min="10499" max="10511" width="12.5" style="31" customWidth="1"/>
    <col min="10512" max="10512" width="8.5" style="31" customWidth="1"/>
    <col min="10513" max="10751" width="10.6640625" style="31"/>
    <col min="10752" max="10752" width="13.1640625" style="31" customWidth="1"/>
    <col min="10753" max="10753" width="79" style="31" customWidth="1"/>
    <col min="10754" max="10754" width="3.83203125" style="31" customWidth="1"/>
    <col min="10755" max="10767" width="12.5" style="31" customWidth="1"/>
    <col min="10768" max="10768" width="8.5" style="31" customWidth="1"/>
    <col min="10769" max="11007" width="10.6640625" style="31"/>
    <col min="11008" max="11008" width="13.1640625" style="31" customWidth="1"/>
    <col min="11009" max="11009" width="79" style="31" customWidth="1"/>
    <col min="11010" max="11010" width="3.83203125" style="31" customWidth="1"/>
    <col min="11011" max="11023" width="12.5" style="31" customWidth="1"/>
    <col min="11024" max="11024" width="8.5" style="31" customWidth="1"/>
    <col min="11025" max="11263" width="10.6640625" style="31"/>
    <col min="11264" max="11264" width="13.1640625" style="31" customWidth="1"/>
    <col min="11265" max="11265" width="79" style="31" customWidth="1"/>
    <col min="11266" max="11266" width="3.83203125" style="31" customWidth="1"/>
    <col min="11267" max="11279" width="12.5" style="31" customWidth="1"/>
    <col min="11280" max="11280" width="8.5" style="31" customWidth="1"/>
    <col min="11281" max="11519" width="10.6640625" style="31"/>
    <col min="11520" max="11520" width="13.1640625" style="31" customWidth="1"/>
    <col min="11521" max="11521" width="79" style="31" customWidth="1"/>
    <col min="11522" max="11522" width="3.83203125" style="31" customWidth="1"/>
    <col min="11523" max="11535" width="12.5" style="31" customWidth="1"/>
    <col min="11536" max="11536" width="8.5" style="31" customWidth="1"/>
    <col min="11537" max="11775" width="10.6640625" style="31"/>
    <col min="11776" max="11776" width="13.1640625" style="31" customWidth="1"/>
    <col min="11777" max="11777" width="79" style="31" customWidth="1"/>
    <col min="11778" max="11778" width="3.83203125" style="31" customWidth="1"/>
    <col min="11779" max="11791" width="12.5" style="31" customWidth="1"/>
    <col min="11792" max="11792" width="8.5" style="31" customWidth="1"/>
    <col min="11793" max="12031" width="10.6640625" style="31"/>
    <col min="12032" max="12032" width="13.1640625" style="31" customWidth="1"/>
    <col min="12033" max="12033" width="79" style="31" customWidth="1"/>
    <col min="12034" max="12034" width="3.83203125" style="31" customWidth="1"/>
    <col min="12035" max="12047" width="12.5" style="31" customWidth="1"/>
    <col min="12048" max="12048" width="8.5" style="31" customWidth="1"/>
    <col min="12049" max="12287" width="10.6640625" style="31"/>
    <col min="12288" max="12288" width="13.1640625" style="31" customWidth="1"/>
    <col min="12289" max="12289" width="79" style="31" customWidth="1"/>
    <col min="12290" max="12290" width="3.83203125" style="31" customWidth="1"/>
    <col min="12291" max="12303" width="12.5" style="31" customWidth="1"/>
    <col min="12304" max="12304" width="8.5" style="31" customWidth="1"/>
    <col min="12305" max="12543" width="10.6640625" style="31"/>
    <col min="12544" max="12544" width="13.1640625" style="31" customWidth="1"/>
    <col min="12545" max="12545" width="79" style="31" customWidth="1"/>
    <col min="12546" max="12546" width="3.83203125" style="31" customWidth="1"/>
    <col min="12547" max="12559" width="12.5" style="31" customWidth="1"/>
    <col min="12560" max="12560" width="8.5" style="31" customWidth="1"/>
    <col min="12561" max="12799" width="10.6640625" style="31"/>
    <col min="12800" max="12800" width="13.1640625" style="31" customWidth="1"/>
    <col min="12801" max="12801" width="79" style="31" customWidth="1"/>
    <col min="12802" max="12802" width="3.83203125" style="31" customWidth="1"/>
    <col min="12803" max="12815" width="12.5" style="31" customWidth="1"/>
    <col min="12816" max="12816" width="8.5" style="31" customWidth="1"/>
    <col min="12817" max="13055" width="10.6640625" style="31"/>
    <col min="13056" max="13056" width="13.1640625" style="31" customWidth="1"/>
    <col min="13057" max="13057" width="79" style="31" customWidth="1"/>
    <col min="13058" max="13058" width="3.83203125" style="31" customWidth="1"/>
    <col min="13059" max="13071" width="12.5" style="31" customWidth="1"/>
    <col min="13072" max="13072" width="8.5" style="31" customWidth="1"/>
    <col min="13073" max="13311" width="10.6640625" style="31"/>
    <col min="13312" max="13312" width="13.1640625" style="31" customWidth="1"/>
    <col min="13313" max="13313" width="79" style="31" customWidth="1"/>
    <col min="13314" max="13314" width="3.83203125" style="31" customWidth="1"/>
    <col min="13315" max="13327" width="12.5" style="31" customWidth="1"/>
    <col min="13328" max="13328" width="8.5" style="31" customWidth="1"/>
    <col min="13329" max="13567" width="10.6640625" style="31"/>
    <col min="13568" max="13568" width="13.1640625" style="31" customWidth="1"/>
    <col min="13569" max="13569" width="79" style="31" customWidth="1"/>
    <col min="13570" max="13570" width="3.83203125" style="31" customWidth="1"/>
    <col min="13571" max="13583" width="12.5" style="31" customWidth="1"/>
    <col min="13584" max="13584" width="8.5" style="31" customWidth="1"/>
    <col min="13585" max="13823" width="10.6640625" style="31"/>
    <col min="13824" max="13824" width="13.1640625" style="31" customWidth="1"/>
    <col min="13825" max="13825" width="79" style="31" customWidth="1"/>
    <col min="13826" max="13826" width="3.83203125" style="31" customWidth="1"/>
    <col min="13827" max="13839" width="12.5" style="31" customWidth="1"/>
    <col min="13840" max="13840" width="8.5" style="31" customWidth="1"/>
    <col min="13841" max="14079" width="10.6640625" style="31"/>
    <col min="14080" max="14080" width="13.1640625" style="31" customWidth="1"/>
    <col min="14081" max="14081" width="79" style="31" customWidth="1"/>
    <col min="14082" max="14082" width="3.83203125" style="31" customWidth="1"/>
    <col min="14083" max="14095" width="12.5" style="31" customWidth="1"/>
    <col min="14096" max="14096" width="8.5" style="31" customWidth="1"/>
    <col min="14097" max="14335" width="10.6640625" style="31"/>
    <col min="14336" max="14336" width="13.1640625" style="31" customWidth="1"/>
    <col min="14337" max="14337" width="79" style="31" customWidth="1"/>
    <col min="14338" max="14338" width="3.83203125" style="31" customWidth="1"/>
    <col min="14339" max="14351" width="12.5" style="31" customWidth="1"/>
    <col min="14352" max="14352" width="8.5" style="31" customWidth="1"/>
    <col min="14353" max="14591" width="10.6640625" style="31"/>
    <col min="14592" max="14592" width="13.1640625" style="31" customWidth="1"/>
    <col min="14593" max="14593" width="79" style="31" customWidth="1"/>
    <col min="14594" max="14594" width="3.83203125" style="31" customWidth="1"/>
    <col min="14595" max="14607" width="12.5" style="31" customWidth="1"/>
    <col min="14608" max="14608" width="8.5" style="31" customWidth="1"/>
    <col min="14609" max="14847" width="10.6640625" style="31"/>
    <col min="14848" max="14848" width="13.1640625" style="31" customWidth="1"/>
    <col min="14849" max="14849" width="79" style="31" customWidth="1"/>
    <col min="14850" max="14850" width="3.83203125" style="31" customWidth="1"/>
    <col min="14851" max="14863" width="12.5" style="31" customWidth="1"/>
    <col min="14864" max="14864" width="8.5" style="31" customWidth="1"/>
    <col min="14865" max="15103" width="10.6640625" style="31"/>
    <col min="15104" max="15104" width="13.1640625" style="31" customWidth="1"/>
    <col min="15105" max="15105" width="79" style="31" customWidth="1"/>
    <col min="15106" max="15106" width="3.83203125" style="31" customWidth="1"/>
    <col min="15107" max="15119" width="12.5" style="31" customWidth="1"/>
    <col min="15120" max="15120" width="8.5" style="31" customWidth="1"/>
    <col min="15121" max="15359" width="10.6640625" style="31"/>
    <col min="15360" max="15360" width="13.1640625" style="31" customWidth="1"/>
    <col min="15361" max="15361" width="79" style="31" customWidth="1"/>
    <col min="15362" max="15362" width="3.83203125" style="31" customWidth="1"/>
    <col min="15363" max="15375" width="12.5" style="31" customWidth="1"/>
    <col min="15376" max="15376" width="8.5" style="31" customWidth="1"/>
    <col min="15377" max="15615" width="10.6640625" style="31"/>
    <col min="15616" max="15616" width="13.1640625" style="31" customWidth="1"/>
    <col min="15617" max="15617" width="79" style="31" customWidth="1"/>
    <col min="15618" max="15618" width="3.83203125" style="31" customWidth="1"/>
    <col min="15619" max="15631" width="12.5" style="31" customWidth="1"/>
    <col min="15632" max="15632" width="8.5" style="31" customWidth="1"/>
    <col min="15633" max="15871" width="10.6640625" style="31"/>
    <col min="15872" max="15872" width="13.1640625" style="31" customWidth="1"/>
    <col min="15873" max="15873" width="79" style="31" customWidth="1"/>
    <col min="15874" max="15874" width="3.83203125" style="31" customWidth="1"/>
    <col min="15875" max="15887" width="12.5" style="31" customWidth="1"/>
    <col min="15888" max="15888" width="8.5" style="31" customWidth="1"/>
    <col min="15889" max="16127" width="10.6640625" style="31"/>
    <col min="16128" max="16128" width="13.1640625" style="31" customWidth="1"/>
    <col min="16129" max="16129" width="79" style="31" customWidth="1"/>
    <col min="16130" max="16130" width="3.83203125" style="31" customWidth="1"/>
    <col min="16131" max="16143" width="12.5" style="31" customWidth="1"/>
    <col min="16144" max="16144" width="8.5" style="31" customWidth="1"/>
    <col min="16145" max="16384" width="10.6640625" style="31"/>
  </cols>
  <sheetData>
    <row r="1" spans="1:19" ht="13.5" thickBot="1">
      <c r="A1" s="40" t="s">
        <v>80</v>
      </c>
      <c r="B1" s="41">
        <v>3</v>
      </c>
      <c r="C1" s="42"/>
      <c r="D1" s="43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</row>
    <row r="2" spans="1:19" ht="13.5" thickTop="1">
      <c r="A2" s="45" t="str">
        <f>CONCATENATE($B$1,"|",B2)</f>
        <v>3|1</v>
      </c>
      <c r="B2" s="46">
        <v>1</v>
      </c>
      <c r="C2" s="47" t="s">
        <v>494</v>
      </c>
      <c r="D2" s="48">
        <v>1</v>
      </c>
      <c r="E2" s="49">
        <v>50</v>
      </c>
      <c r="F2" s="49">
        <v>50</v>
      </c>
      <c r="G2" s="49"/>
      <c r="H2" s="49"/>
      <c r="I2" s="49"/>
      <c r="J2" s="50"/>
      <c r="K2" s="50"/>
      <c r="L2" s="50"/>
      <c r="M2" s="50"/>
      <c r="N2" s="50"/>
      <c r="O2" s="50"/>
      <c r="P2" s="50"/>
      <c r="S2" s="31">
        <f>SUM(E2:P2)</f>
        <v>100</v>
      </c>
    </row>
    <row r="3" spans="1:19">
      <c r="A3" s="51" t="str">
        <f t="shared" ref="A3:A12" si="0">CONCATENATE($B$1,"|",B3)</f>
        <v>3|2</v>
      </c>
      <c r="B3" s="52" t="s">
        <v>189</v>
      </c>
      <c r="C3" s="47" t="s">
        <v>490</v>
      </c>
      <c r="D3" s="48">
        <v>2</v>
      </c>
      <c r="E3" s="49">
        <v>50</v>
      </c>
      <c r="F3" s="49">
        <v>50</v>
      </c>
      <c r="G3" s="49"/>
      <c r="H3" s="49"/>
      <c r="I3" s="49"/>
      <c r="J3" s="53"/>
      <c r="K3" s="53"/>
      <c r="L3" s="53"/>
      <c r="M3" s="53"/>
      <c r="N3" s="53"/>
      <c r="O3" s="53"/>
      <c r="P3" s="53"/>
      <c r="S3" s="31">
        <f t="shared" ref="S3:S12" si="1">SUM(E3:P3)</f>
        <v>100</v>
      </c>
    </row>
    <row r="4" spans="1:19">
      <c r="A4" s="51" t="str">
        <f t="shared" si="0"/>
        <v>3|3</v>
      </c>
      <c r="B4" s="52" t="s">
        <v>213</v>
      </c>
      <c r="C4" s="47" t="s">
        <v>496</v>
      </c>
      <c r="D4" s="48">
        <v>3</v>
      </c>
      <c r="E4" s="54">
        <v>25</v>
      </c>
      <c r="F4" s="54">
        <v>60</v>
      </c>
      <c r="G4" s="54">
        <v>15</v>
      </c>
      <c r="H4" s="54"/>
      <c r="I4" s="54"/>
      <c r="J4" s="53"/>
      <c r="K4" s="53"/>
      <c r="L4" s="53"/>
      <c r="M4" s="53"/>
      <c r="N4" s="53"/>
      <c r="O4" s="53"/>
      <c r="P4" s="53"/>
      <c r="S4" s="31">
        <f t="shared" si="1"/>
        <v>100</v>
      </c>
    </row>
    <row r="5" spans="1:19">
      <c r="A5" s="51" t="str">
        <f t="shared" si="0"/>
        <v>3|4</v>
      </c>
      <c r="B5" s="52" t="s">
        <v>231</v>
      </c>
      <c r="C5" s="47" t="s">
        <v>491</v>
      </c>
      <c r="D5" s="48">
        <v>4</v>
      </c>
      <c r="E5" s="54"/>
      <c r="F5" s="54">
        <v>50</v>
      </c>
      <c r="G5" s="54">
        <v>50</v>
      </c>
      <c r="H5" s="54"/>
      <c r="I5" s="54"/>
      <c r="J5" s="53"/>
      <c r="K5" s="53"/>
      <c r="L5" s="53"/>
      <c r="M5" s="53"/>
      <c r="N5" s="53"/>
      <c r="O5" s="53"/>
      <c r="P5" s="53"/>
      <c r="S5" s="31">
        <f t="shared" si="1"/>
        <v>100</v>
      </c>
    </row>
    <row r="6" spans="1:19">
      <c r="A6" s="51" t="str">
        <f t="shared" si="0"/>
        <v>3|5</v>
      </c>
      <c r="B6" s="52" t="s">
        <v>188</v>
      </c>
      <c r="C6" s="47" t="s">
        <v>492</v>
      </c>
      <c r="D6" s="48">
        <v>5</v>
      </c>
      <c r="E6" s="54">
        <v>20</v>
      </c>
      <c r="F6" s="54">
        <v>50</v>
      </c>
      <c r="G6" s="54">
        <v>30</v>
      </c>
      <c r="H6" s="54"/>
      <c r="I6" s="54"/>
      <c r="J6" s="53"/>
      <c r="K6" s="53"/>
      <c r="L6" s="53"/>
      <c r="M6" s="53"/>
      <c r="N6" s="53"/>
      <c r="O6" s="53"/>
      <c r="P6" s="53"/>
      <c r="S6" s="31">
        <f t="shared" si="1"/>
        <v>100</v>
      </c>
    </row>
    <row r="7" spans="1:19">
      <c r="A7" s="51" t="str">
        <f t="shared" si="0"/>
        <v>3|6</v>
      </c>
      <c r="B7" s="52" t="s">
        <v>233</v>
      </c>
      <c r="C7" s="47" t="s">
        <v>498</v>
      </c>
      <c r="D7" s="48">
        <v>3</v>
      </c>
      <c r="E7" s="54"/>
      <c r="F7" s="54">
        <v>50</v>
      </c>
      <c r="G7" s="54">
        <v>50</v>
      </c>
      <c r="H7" s="54"/>
      <c r="I7" s="54"/>
      <c r="J7" s="53"/>
      <c r="K7" s="53"/>
      <c r="L7" s="53"/>
      <c r="M7" s="53"/>
      <c r="N7" s="53"/>
      <c r="O7" s="53"/>
      <c r="P7" s="53"/>
      <c r="S7" s="31">
        <f t="shared" si="1"/>
        <v>100</v>
      </c>
    </row>
    <row r="8" spans="1:19">
      <c r="A8" s="51" t="str">
        <f t="shared" si="0"/>
        <v>3|7</v>
      </c>
      <c r="B8" s="52" t="s">
        <v>471</v>
      </c>
      <c r="C8" s="47" t="s">
        <v>499</v>
      </c>
      <c r="D8" s="48">
        <v>5</v>
      </c>
      <c r="E8" s="54"/>
      <c r="F8" s="54">
        <v>20</v>
      </c>
      <c r="G8" s="54">
        <v>80</v>
      </c>
      <c r="H8" s="54"/>
      <c r="I8" s="54"/>
      <c r="J8" s="53"/>
      <c r="K8" s="53"/>
      <c r="L8" s="53"/>
      <c r="M8" s="53"/>
      <c r="N8" s="53"/>
      <c r="O8" s="53"/>
      <c r="P8" s="53"/>
      <c r="S8" s="31">
        <f t="shared" si="1"/>
        <v>100</v>
      </c>
    </row>
    <row r="9" spans="1:19">
      <c r="A9" s="51" t="str">
        <f t="shared" si="0"/>
        <v>3|8</v>
      </c>
      <c r="B9" s="52" t="s">
        <v>338</v>
      </c>
      <c r="C9" s="47" t="s">
        <v>501</v>
      </c>
      <c r="D9" s="48">
        <v>6</v>
      </c>
      <c r="E9" s="54"/>
      <c r="F9" s="54">
        <v>50</v>
      </c>
      <c r="G9" s="54">
        <v>50</v>
      </c>
      <c r="H9" s="54"/>
      <c r="I9" s="54"/>
      <c r="J9" s="53"/>
      <c r="K9" s="53"/>
      <c r="L9" s="53"/>
      <c r="M9" s="53"/>
      <c r="N9" s="53"/>
      <c r="O9" s="53"/>
      <c r="P9" s="53"/>
      <c r="S9" s="31">
        <f t="shared" si="1"/>
        <v>100</v>
      </c>
    </row>
    <row r="10" spans="1:19">
      <c r="A10" s="51" t="str">
        <f t="shared" si="0"/>
        <v>3|9</v>
      </c>
      <c r="B10" s="52" t="s">
        <v>502</v>
      </c>
      <c r="C10" s="47" t="s">
        <v>503</v>
      </c>
      <c r="D10" s="48">
        <v>6</v>
      </c>
      <c r="E10" s="54">
        <v>30</v>
      </c>
      <c r="F10" s="54">
        <v>40</v>
      </c>
      <c r="G10" s="54">
        <v>30</v>
      </c>
      <c r="H10" s="54"/>
      <c r="I10" s="54"/>
      <c r="J10" s="53"/>
      <c r="K10" s="53"/>
      <c r="L10" s="53"/>
      <c r="M10" s="53"/>
      <c r="N10" s="53"/>
      <c r="O10" s="53"/>
      <c r="P10" s="53"/>
      <c r="S10" s="31">
        <f t="shared" si="1"/>
        <v>100</v>
      </c>
    </row>
    <row r="11" spans="1:19">
      <c r="A11" s="51" t="str">
        <f t="shared" si="0"/>
        <v>3|10</v>
      </c>
      <c r="B11" s="52" t="s">
        <v>504</v>
      </c>
      <c r="C11" s="47" t="s">
        <v>493</v>
      </c>
      <c r="D11" s="48"/>
      <c r="E11" s="54">
        <v>60</v>
      </c>
      <c r="F11" s="54">
        <v>40</v>
      </c>
      <c r="G11" s="54"/>
      <c r="H11" s="54"/>
      <c r="I11" s="54"/>
      <c r="J11" s="53"/>
      <c r="K11" s="53"/>
      <c r="L11" s="53"/>
      <c r="M11" s="53"/>
      <c r="N11" s="53"/>
      <c r="O11" s="53"/>
      <c r="P11" s="53"/>
      <c r="S11" s="31">
        <f t="shared" si="1"/>
        <v>100</v>
      </c>
    </row>
    <row r="12" spans="1:19">
      <c r="A12" s="51" t="str">
        <f t="shared" si="0"/>
        <v>3|11</v>
      </c>
      <c r="B12" s="52" t="s">
        <v>758</v>
      </c>
      <c r="C12" s="47" t="s">
        <v>796</v>
      </c>
      <c r="D12" s="48"/>
      <c r="E12" s="54">
        <v>15</v>
      </c>
      <c r="F12" s="54">
        <v>60</v>
      </c>
      <c r="G12" s="54">
        <v>25</v>
      </c>
      <c r="H12" s="54"/>
      <c r="I12" s="54"/>
      <c r="J12" s="53"/>
      <c r="K12" s="53"/>
      <c r="L12" s="53"/>
      <c r="M12" s="53"/>
      <c r="N12" s="53"/>
      <c r="O12" s="53"/>
      <c r="P12" s="53"/>
      <c r="S12" s="31">
        <f t="shared" si="1"/>
        <v>100</v>
      </c>
    </row>
    <row r="13" spans="1:19" ht="5.45" customHeight="1"/>
    <row r="14" spans="1:19" ht="13.5" thickBot="1">
      <c r="A14" s="55" t="s">
        <v>80</v>
      </c>
      <c r="B14" s="56">
        <v>4</v>
      </c>
      <c r="C14" s="57"/>
      <c r="D14" s="58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</row>
    <row r="15" spans="1:19" ht="13.5" thickTop="1">
      <c r="A15" s="59" t="str">
        <f>CONCATENATE($B$14,"|",B15)</f>
        <v>4|1</v>
      </c>
      <c r="B15" s="46">
        <v>1</v>
      </c>
      <c r="C15" s="47" t="s">
        <v>494</v>
      </c>
      <c r="D15" s="48">
        <v>1</v>
      </c>
      <c r="E15" s="49">
        <v>45</v>
      </c>
      <c r="F15" s="49">
        <v>45</v>
      </c>
      <c r="G15" s="49">
        <v>10</v>
      </c>
      <c r="H15" s="49"/>
      <c r="I15" s="49"/>
      <c r="J15" s="50"/>
      <c r="K15" s="50"/>
      <c r="L15" s="50"/>
      <c r="M15" s="50"/>
      <c r="N15" s="50"/>
      <c r="O15" s="50"/>
      <c r="P15" s="50"/>
      <c r="S15" s="31">
        <f>SUM(E15:P15)</f>
        <v>100</v>
      </c>
    </row>
    <row r="16" spans="1:19">
      <c r="A16" s="51" t="str">
        <f t="shared" ref="A16:A25" si="2">CONCATENATE($B$14,"|",B16)</f>
        <v>4|2</v>
      </c>
      <c r="B16" s="52" t="s">
        <v>189</v>
      </c>
      <c r="C16" s="47" t="s">
        <v>490</v>
      </c>
      <c r="D16" s="48">
        <v>2</v>
      </c>
      <c r="E16" s="49">
        <v>40</v>
      </c>
      <c r="F16" s="49">
        <v>40</v>
      </c>
      <c r="G16" s="49">
        <v>20</v>
      </c>
      <c r="H16" s="49"/>
      <c r="I16" s="49"/>
      <c r="J16" s="53"/>
      <c r="K16" s="53"/>
      <c r="L16" s="53"/>
      <c r="M16" s="53"/>
      <c r="N16" s="53"/>
      <c r="O16" s="53"/>
      <c r="P16" s="53"/>
      <c r="S16" s="31">
        <f t="shared" ref="S16:S25" si="3">SUM(E16:P16)</f>
        <v>100</v>
      </c>
    </row>
    <row r="17" spans="1:19">
      <c r="A17" s="51" t="str">
        <f t="shared" si="2"/>
        <v>4|3</v>
      </c>
      <c r="B17" s="52" t="s">
        <v>213</v>
      </c>
      <c r="C17" s="47" t="s">
        <v>496</v>
      </c>
      <c r="D17" s="48">
        <v>3</v>
      </c>
      <c r="E17" s="54">
        <v>20</v>
      </c>
      <c r="F17" s="54">
        <v>35</v>
      </c>
      <c r="G17" s="54">
        <v>35</v>
      </c>
      <c r="H17" s="54">
        <v>10</v>
      </c>
      <c r="I17" s="54"/>
      <c r="J17" s="53"/>
      <c r="K17" s="53"/>
      <c r="L17" s="53"/>
      <c r="M17" s="53"/>
      <c r="N17" s="53"/>
      <c r="O17" s="53"/>
      <c r="P17" s="53"/>
      <c r="S17" s="31">
        <f t="shared" si="3"/>
        <v>100</v>
      </c>
    </row>
    <row r="18" spans="1:19">
      <c r="A18" s="51" t="str">
        <f t="shared" si="2"/>
        <v>4|4</v>
      </c>
      <c r="B18" s="52" t="s">
        <v>231</v>
      </c>
      <c r="C18" s="47" t="s">
        <v>491</v>
      </c>
      <c r="D18" s="48">
        <v>4</v>
      </c>
      <c r="E18" s="54"/>
      <c r="F18" s="54">
        <v>35</v>
      </c>
      <c r="G18" s="54">
        <v>35</v>
      </c>
      <c r="H18" s="54">
        <v>30</v>
      </c>
      <c r="I18" s="54"/>
      <c r="J18" s="53"/>
      <c r="K18" s="53"/>
      <c r="L18" s="53"/>
      <c r="M18" s="53"/>
      <c r="N18" s="53"/>
      <c r="O18" s="53"/>
      <c r="P18" s="53"/>
      <c r="S18" s="31">
        <f t="shared" si="3"/>
        <v>100</v>
      </c>
    </row>
    <row r="19" spans="1:19">
      <c r="A19" s="51" t="str">
        <f t="shared" si="2"/>
        <v>4|5</v>
      </c>
      <c r="B19" s="52" t="s">
        <v>188</v>
      </c>
      <c r="C19" s="47" t="s">
        <v>492</v>
      </c>
      <c r="D19" s="48">
        <v>5</v>
      </c>
      <c r="E19" s="54">
        <v>10</v>
      </c>
      <c r="F19" s="54">
        <v>35</v>
      </c>
      <c r="G19" s="54">
        <v>35</v>
      </c>
      <c r="H19" s="54">
        <v>20</v>
      </c>
      <c r="I19" s="54"/>
      <c r="J19" s="53"/>
      <c r="K19" s="53"/>
      <c r="L19" s="53"/>
      <c r="M19" s="53"/>
      <c r="N19" s="53"/>
      <c r="O19" s="53"/>
      <c r="P19" s="53"/>
      <c r="S19" s="31">
        <f t="shared" si="3"/>
        <v>100</v>
      </c>
    </row>
    <row r="20" spans="1:19">
      <c r="A20" s="51" t="str">
        <f t="shared" si="2"/>
        <v>4|6</v>
      </c>
      <c r="B20" s="52" t="s">
        <v>233</v>
      </c>
      <c r="C20" s="47" t="s">
        <v>498</v>
      </c>
      <c r="D20" s="48">
        <v>3</v>
      </c>
      <c r="E20" s="54"/>
      <c r="F20" s="54">
        <v>35</v>
      </c>
      <c r="G20" s="54">
        <v>35</v>
      </c>
      <c r="H20" s="54">
        <v>30</v>
      </c>
      <c r="I20" s="54"/>
      <c r="J20" s="53"/>
      <c r="K20" s="53"/>
      <c r="L20" s="53"/>
      <c r="M20" s="53"/>
      <c r="N20" s="53"/>
      <c r="O20" s="53"/>
      <c r="P20" s="53"/>
      <c r="S20" s="31">
        <f t="shared" si="3"/>
        <v>100</v>
      </c>
    </row>
    <row r="21" spans="1:19">
      <c r="A21" s="51" t="str">
        <f t="shared" si="2"/>
        <v>4|7</v>
      </c>
      <c r="B21" s="52" t="s">
        <v>471</v>
      </c>
      <c r="C21" s="47" t="s">
        <v>499</v>
      </c>
      <c r="D21" s="48">
        <v>5</v>
      </c>
      <c r="E21" s="54"/>
      <c r="F21" s="54">
        <v>15</v>
      </c>
      <c r="G21" s="54">
        <v>60</v>
      </c>
      <c r="H21" s="54">
        <v>25</v>
      </c>
      <c r="I21" s="54"/>
      <c r="J21" s="53"/>
      <c r="K21" s="53"/>
      <c r="L21" s="53"/>
      <c r="M21" s="53"/>
      <c r="N21" s="53"/>
      <c r="O21" s="53"/>
      <c r="P21" s="53"/>
      <c r="S21" s="31">
        <f t="shared" si="3"/>
        <v>100</v>
      </c>
    </row>
    <row r="22" spans="1:19">
      <c r="A22" s="51" t="str">
        <f t="shared" si="2"/>
        <v>4|8</v>
      </c>
      <c r="B22" s="52" t="s">
        <v>338</v>
      </c>
      <c r="C22" s="47" t="s">
        <v>501</v>
      </c>
      <c r="D22" s="48">
        <v>6</v>
      </c>
      <c r="E22" s="54"/>
      <c r="F22" s="54">
        <v>30</v>
      </c>
      <c r="G22" s="54">
        <v>40</v>
      </c>
      <c r="H22" s="54">
        <v>30</v>
      </c>
      <c r="I22" s="54"/>
      <c r="J22" s="53"/>
      <c r="K22" s="53"/>
      <c r="L22" s="53"/>
      <c r="M22" s="53"/>
      <c r="N22" s="53"/>
      <c r="O22" s="53"/>
      <c r="P22" s="53"/>
      <c r="S22" s="31">
        <f t="shared" si="3"/>
        <v>100</v>
      </c>
    </row>
    <row r="23" spans="1:19">
      <c r="A23" s="51" t="str">
        <f t="shared" si="2"/>
        <v>4|9</v>
      </c>
      <c r="B23" s="52" t="s">
        <v>502</v>
      </c>
      <c r="C23" s="47" t="s">
        <v>503</v>
      </c>
      <c r="D23" s="48">
        <v>6</v>
      </c>
      <c r="E23" s="54">
        <v>10</v>
      </c>
      <c r="F23" s="54">
        <v>35</v>
      </c>
      <c r="G23" s="54">
        <v>35</v>
      </c>
      <c r="H23" s="54">
        <v>20</v>
      </c>
      <c r="I23" s="54"/>
      <c r="J23" s="53"/>
      <c r="K23" s="53"/>
      <c r="L23" s="53"/>
      <c r="M23" s="53"/>
      <c r="N23" s="53"/>
      <c r="O23" s="53"/>
      <c r="P23" s="53"/>
      <c r="S23" s="31">
        <f t="shared" si="3"/>
        <v>100</v>
      </c>
    </row>
    <row r="24" spans="1:19">
      <c r="A24" s="51" t="str">
        <f t="shared" si="2"/>
        <v>4|10</v>
      </c>
      <c r="B24" s="52" t="s">
        <v>504</v>
      </c>
      <c r="C24" s="47" t="s">
        <v>493</v>
      </c>
      <c r="D24" s="48"/>
      <c r="E24" s="54">
        <v>40</v>
      </c>
      <c r="F24" s="54">
        <v>40</v>
      </c>
      <c r="G24" s="54">
        <v>20</v>
      </c>
      <c r="H24" s="54"/>
      <c r="I24" s="54"/>
      <c r="J24" s="53"/>
      <c r="K24" s="53"/>
      <c r="L24" s="53"/>
      <c r="M24" s="53"/>
      <c r="N24" s="53"/>
      <c r="O24" s="53"/>
      <c r="P24" s="53"/>
      <c r="S24" s="31">
        <f t="shared" si="3"/>
        <v>100</v>
      </c>
    </row>
    <row r="25" spans="1:19">
      <c r="A25" s="60" t="str">
        <f t="shared" si="2"/>
        <v>4|11</v>
      </c>
      <c r="B25" s="52" t="s">
        <v>758</v>
      </c>
      <c r="C25" s="47" t="s">
        <v>796</v>
      </c>
      <c r="D25" s="48"/>
      <c r="E25" s="54">
        <v>10</v>
      </c>
      <c r="F25" s="54">
        <v>35</v>
      </c>
      <c r="G25" s="54">
        <v>35</v>
      </c>
      <c r="H25" s="54">
        <v>20</v>
      </c>
      <c r="I25" s="54"/>
      <c r="J25" s="53"/>
      <c r="K25" s="53"/>
      <c r="L25" s="53"/>
      <c r="M25" s="53"/>
      <c r="N25" s="53"/>
      <c r="O25" s="53"/>
      <c r="P25" s="53"/>
      <c r="S25" s="31">
        <f t="shared" si="3"/>
        <v>100</v>
      </c>
    </row>
    <row r="26" spans="1:19" ht="5.45" customHeight="1"/>
    <row r="27" spans="1:19" ht="13.5" thickBot="1">
      <c r="A27" s="55" t="s">
        <v>80</v>
      </c>
      <c r="B27" s="56">
        <v>5</v>
      </c>
      <c r="C27" s="57"/>
      <c r="D27" s="58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</row>
    <row r="28" spans="1:19" ht="13.5" thickTop="1">
      <c r="A28" s="59" t="str">
        <f>CONCATENATE($B$27,"|",B28)</f>
        <v>5|1</v>
      </c>
      <c r="B28" s="46">
        <v>1</v>
      </c>
      <c r="C28" s="47" t="s">
        <v>494</v>
      </c>
      <c r="D28" s="48">
        <v>1</v>
      </c>
      <c r="E28" s="49">
        <v>40</v>
      </c>
      <c r="F28" s="49">
        <v>30</v>
      </c>
      <c r="G28" s="49">
        <v>25</v>
      </c>
      <c r="H28" s="49">
        <v>5</v>
      </c>
      <c r="I28" s="49"/>
      <c r="J28" s="50"/>
      <c r="K28" s="50"/>
      <c r="L28" s="50"/>
      <c r="M28" s="50"/>
      <c r="N28" s="50"/>
      <c r="O28" s="50"/>
      <c r="P28" s="50"/>
      <c r="S28" s="31">
        <f>SUM(E28:P28)</f>
        <v>100</v>
      </c>
    </row>
    <row r="29" spans="1:19">
      <c r="A29" s="51" t="str">
        <f t="shared" ref="A29:A38" si="4">CONCATENATE($B$27,"|",B29)</f>
        <v>5|2</v>
      </c>
      <c r="B29" s="52" t="s">
        <v>189</v>
      </c>
      <c r="C29" s="47" t="s">
        <v>490</v>
      </c>
      <c r="D29" s="48">
        <v>2</v>
      </c>
      <c r="E29" s="49">
        <v>30</v>
      </c>
      <c r="F29" s="49">
        <v>30</v>
      </c>
      <c r="G29" s="49">
        <v>30</v>
      </c>
      <c r="H29" s="49">
        <v>10</v>
      </c>
      <c r="I29" s="49"/>
      <c r="J29" s="53"/>
      <c r="K29" s="53"/>
      <c r="L29" s="53"/>
      <c r="M29" s="53"/>
      <c r="N29" s="53"/>
      <c r="O29" s="53"/>
      <c r="P29" s="53"/>
      <c r="S29" s="31">
        <f t="shared" ref="S29:S38" si="5">SUM(E29:P29)</f>
        <v>100</v>
      </c>
    </row>
    <row r="30" spans="1:19">
      <c r="A30" s="51" t="str">
        <f t="shared" si="4"/>
        <v>5|3</v>
      </c>
      <c r="B30" s="52" t="s">
        <v>213</v>
      </c>
      <c r="C30" s="47" t="s">
        <v>496</v>
      </c>
      <c r="D30" s="48">
        <v>3</v>
      </c>
      <c r="E30" s="54">
        <v>10</v>
      </c>
      <c r="F30" s="54">
        <v>30</v>
      </c>
      <c r="G30" s="54">
        <v>30</v>
      </c>
      <c r="H30" s="54">
        <v>25</v>
      </c>
      <c r="I30" s="54">
        <v>5</v>
      </c>
      <c r="J30" s="53"/>
      <c r="K30" s="53"/>
      <c r="L30" s="53"/>
      <c r="M30" s="53"/>
      <c r="N30" s="53"/>
      <c r="O30" s="53"/>
      <c r="P30" s="53"/>
      <c r="S30" s="31">
        <f t="shared" si="5"/>
        <v>100</v>
      </c>
    </row>
    <row r="31" spans="1:19">
      <c r="A31" s="51" t="str">
        <f t="shared" si="4"/>
        <v>5|4</v>
      </c>
      <c r="B31" s="52" t="s">
        <v>231</v>
      </c>
      <c r="C31" s="47" t="s">
        <v>491</v>
      </c>
      <c r="D31" s="48">
        <v>4</v>
      </c>
      <c r="E31" s="54"/>
      <c r="F31" s="54">
        <v>15</v>
      </c>
      <c r="G31" s="54">
        <v>30</v>
      </c>
      <c r="H31" s="54">
        <v>30</v>
      </c>
      <c r="I31" s="54">
        <v>25</v>
      </c>
      <c r="J31" s="53"/>
      <c r="K31" s="53"/>
      <c r="L31" s="53"/>
      <c r="M31" s="53"/>
      <c r="N31" s="53"/>
      <c r="O31" s="53"/>
      <c r="P31" s="53"/>
      <c r="S31" s="31">
        <f t="shared" si="5"/>
        <v>100</v>
      </c>
    </row>
    <row r="32" spans="1:19">
      <c r="A32" s="51" t="str">
        <f t="shared" si="4"/>
        <v>5|5</v>
      </c>
      <c r="B32" s="52" t="s">
        <v>188</v>
      </c>
      <c r="C32" s="47" t="s">
        <v>492</v>
      </c>
      <c r="D32" s="48">
        <v>5</v>
      </c>
      <c r="E32" s="54"/>
      <c r="F32" s="54">
        <v>25</v>
      </c>
      <c r="G32" s="54">
        <v>35</v>
      </c>
      <c r="H32" s="54">
        <v>35</v>
      </c>
      <c r="I32" s="54">
        <v>5</v>
      </c>
      <c r="J32" s="53"/>
      <c r="K32" s="53"/>
      <c r="L32" s="53"/>
      <c r="M32" s="53"/>
      <c r="N32" s="53"/>
      <c r="O32" s="53"/>
      <c r="P32" s="53"/>
      <c r="S32" s="31">
        <f t="shared" si="5"/>
        <v>100</v>
      </c>
    </row>
    <row r="33" spans="1:19">
      <c r="A33" s="51" t="str">
        <f t="shared" si="4"/>
        <v>5|6</v>
      </c>
      <c r="B33" s="52" t="s">
        <v>233</v>
      </c>
      <c r="C33" s="47" t="s">
        <v>498</v>
      </c>
      <c r="D33" s="48">
        <v>3</v>
      </c>
      <c r="E33" s="54"/>
      <c r="F33" s="54">
        <v>5</v>
      </c>
      <c r="G33" s="54">
        <v>40</v>
      </c>
      <c r="H33" s="54">
        <v>30</v>
      </c>
      <c r="I33" s="54">
        <v>25</v>
      </c>
      <c r="J33" s="53"/>
      <c r="K33" s="53"/>
      <c r="L33" s="53"/>
      <c r="M33" s="53"/>
      <c r="N33" s="53"/>
      <c r="O33" s="53"/>
      <c r="P33" s="53"/>
      <c r="S33" s="31">
        <f t="shared" si="5"/>
        <v>100</v>
      </c>
    </row>
    <row r="34" spans="1:19">
      <c r="A34" s="51" t="str">
        <f t="shared" si="4"/>
        <v>5|7</v>
      </c>
      <c r="B34" s="52" t="s">
        <v>471</v>
      </c>
      <c r="C34" s="47" t="s">
        <v>499</v>
      </c>
      <c r="D34" s="48">
        <v>5</v>
      </c>
      <c r="E34" s="54"/>
      <c r="F34" s="54">
        <v>10</v>
      </c>
      <c r="G34" s="54">
        <v>35</v>
      </c>
      <c r="H34" s="54">
        <v>35</v>
      </c>
      <c r="I34" s="54">
        <v>20</v>
      </c>
      <c r="J34" s="53"/>
      <c r="K34" s="53"/>
      <c r="L34" s="53"/>
      <c r="M34" s="53"/>
      <c r="N34" s="53"/>
      <c r="O34" s="53"/>
      <c r="P34" s="53"/>
      <c r="S34" s="31">
        <f t="shared" si="5"/>
        <v>100</v>
      </c>
    </row>
    <row r="35" spans="1:19">
      <c r="A35" s="51" t="str">
        <f t="shared" si="4"/>
        <v>5|8</v>
      </c>
      <c r="B35" s="52" t="s">
        <v>338</v>
      </c>
      <c r="C35" s="47" t="s">
        <v>501</v>
      </c>
      <c r="D35" s="48">
        <v>6</v>
      </c>
      <c r="E35" s="54"/>
      <c r="F35" s="54">
        <v>10</v>
      </c>
      <c r="G35" s="54">
        <v>35</v>
      </c>
      <c r="H35" s="54">
        <v>35</v>
      </c>
      <c r="I35" s="54">
        <v>20</v>
      </c>
      <c r="J35" s="53"/>
      <c r="K35" s="53"/>
      <c r="L35" s="53"/>
      <c r="M35" s="53"/>
      <c r="N35" s="53"/>
      <c r="O35" s="53"/>
      <c r="P35" s="53"/>
      <c r="S35" s="31">
        <f t="shared" si="5"/>
        <v>100</v>
      </c>
    </row>
    <row r="36" spans="1:19">
      <c r="A36" s="51" t="str">
        <f t="shared" si="4"/>
        <v>5|9</v>
      </c>
      <c r="B36" s="52" t="s">
        <v>502</v>
      </c>
      <c r="C36" s="47" t="s">
        <v>503</v>
      </c>
      <c r="D36" s="48">
        <v>6</v>
      </c>
      <c r="E36" s="54">
        <v>5</v>
      </c>
      <c r="F36" s="54">
        <v>25</v>
      </c>
      <c r="G36" s="54">
        <v>25</v>
      </c>
      <c r="H36" s="54">
        <v>25</v>
      </c>
      <c r="I36" s="54">
        <v>20</v>
      </c>
      <c r="J36" s="53"/>
      <c r="K36" s="53"/>
      <c r="L36" s="53"/>
      <c r="M36" s="53"/>
      <c r="N36" s="53"/>
      <c r="O36" s="53"/>
      <c r="P36" s="53"/>
      <c r="S36" s="31">
        <f t="shared" si="5"/>
        <v>100</v>
      </c>
    </row>
    <row r="37" spans="1:19">
      <c r="A37" s="51" t="str">
        <f t="shared" si="4"/>
        <v>5|10</v>
      </c>
      <c r="B37" s="52" t="s">
        <v>504</v>
      </c>
      <c r="C37" s="47" t="s">
        <v>493</v>
      </c>
      <c r="D37" s="48"/>
      <c r="E37" s="54">
        <v>25</v>
      </c>
      <c r="F37" s="54">
        <v>30</v>
      </c>
      <c r="G37" s="54">
        <v>30</v>
      </c>
      <c r="H37" s="54">
        <v>15</v>
      </c>
      <c r="I37" s="54"/>
      <c r="J37" s="53"/>
      <c r="K37" s="53"/>
      <c r="L37" s="53"/>
      <c r="M37" s="53"/>
      <c r="N37" s="53"/>
      <c r="O37" s="53"/>
      <c r="P37" s="53"/>
      <c r="S37" s="31">
        <f t="shared" si="5"/>
        <v>100</v>
      </c>
    </row>
    <row r="38" spans="1:19">
      <c r="A38" s="51" t="str">
        <f t="shared" si="4"/>
        <v>5|11</v>
      </c>
      <c r="B38" s="52" t="s">
        <v>758</v>
      </c>
      <c r="C38" s="47" t="s">
        <v>796</v>
      </c>
      <c r="D38" s="48"/>
      <c r="E38" s="54">
        <v>7</v>
      </c>
      <c r="F38" s="54">
        <v>21</v>
      </c>
      <c r="G38" s="54">
        <v>27</v>
      </c>
      <c r="H38" s="54">
        <v>28</v>
      </c>
      <c r="I38" s="54">
        <v>17</v>
      </c>
      <c r="J38" s="53"/>
      <c r="K38" s="53"/>
      <c r="L38" s="53"/>
      <c r="M38" s="53"/>
      <c r="N38" s="53"/>
      <c r="O38" s="53"/>
      <c r="P38" s="53"/>
      <c r="S38" s="31">
        <f t="shared" si="5"/>
        <v>100</v>
      </c>
    </row>
    <row r="39" spans="1:19" ht="5.45" customHeight="1"/>
    <row r="40" spans="1:19" ht="13.5" thickBot="1">
      <c r="A40" s="55" t="s">
        <v>80</v>
      </c>
      <c r="B40" s="56">
        <v>6</v>
      </c>
      <c r="C40" s="57"/>
      <c r="D40" s="58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1:19" ht="13.5" thickTop="1">
      <c r="A41" s="59" t="str">
        <f>CONCATENATE($B$40,"|",B41)</f>
        <v>6|1</v>
      </c>
      <c r="B41" s="46">
        <v>1</v>
      </c>
      <c r="C41" s="47" t="s">
        <v>494</v>
      </c>
      <c r="D41" s="48">
        <v>1</v>
      </c>
      <c r="E41" s="49">
        <v>20</v>
      </c>
      <c r="F41" s="49">
        <v>30</v>
      </c>
      <c r="G41" s="49">
        <v>30</v>
      </c>
      <c r="H41" s="49">
        <v>20</v>
      </c>
      <c r="I41" s="49"/>
      <c r="J41" s="50"/>
      <c r="K41" s="50"/>
      <c r="L41" s="50"/>
      <c r="M41" s="50"/>
      <c r="N41" s="50"/>
      <c r="O41" s="50"/>
      <c r="P41" s="50"/>
      <c r="S41" s="31">
        <f>SUM(E41:P41)</f>
        <v>100</v>
      </c>
    </row>
    <row r="42" spans="1:19">
      <c r="A42" s="51" t="str">
        <f>CONCATENATE($B$40,"|",B42)</f>
        <v>6|2</v>
      </c>
      <c r="B42" s="52" t="s">
        <v>189</v>
      </c>
      <c r="C42" s="47" t="s">
        <v>490</v>
      </c>
      <c r="D42" s="48">
        <v>2</v>
      </c>
      <c r="E42" s="49">
        <v>15</v>
      </c>
      <c r="F42" s="49">
        <v>25</v>
      </c>
      <c r="G42" s="49">
        <v>30</v>
      </c>
      <c r="H42" s="49">
        <v>25</v>
      </c>
      <c r="I42" s="49">
        <v>5</v>
      </c>
      <c r="J42" s="53"/>
      <c r="K42" s="53"/>
      <c r="L42" s="53"/>
      <c r="M42" s="53"/>
      <c r="N42" s="53"/>
      <c r="O42" s="53"/>
      <c r="P42" s="53"/>
      <c r="S42" s="31">
        <f t="shared" ref="S42:S51" si="6">SUM(E42:P42)</f>
        <v>100</v>
      </c>
    </row>
    <row r="43" spans="1:19">
      <c r="A43" s="51" t="str">
        <f t="shared" ref="A43:A51" si="7">CONCATENATE($B$40,"|",B43)</f>
        <v>6|3</v>
      </c>
      <c r="B43" s="52" t="s">
        <v>213</v>
      </c>
      <c r="C43" s="47" t="s">
        <v>496</v>
      </c>
      <c r="D43" s="48">
        <v>3</v>
      </c>
      <c r="E43" s="54">
        <v>5</v>
      </c>
      <c r="F43" s="54">
        <v>20</v>
      </c>
      <c r="G43" s="54">
        <v>30</v>
      </c>
      <c r="H43" s="54">
        <v>25</v>
      </c>
      <c r="I43" s="54">
        <v>20</v>
      </c>
      <c r="J43" s="53"/>
      <c r="K43" s="53"/>
      <c r="L43" s="53"/>
      <c r="M43" s="53"/>
      <c r="N43" s="53"/>
      <c r="O43" s="53"/>
      <c r="P43" s="53"/>
      <c r="S43" s="31">
        <f t="shared" si="6"/>
        <v>100</v>
      </c>
    </row>
    <row r="44" spans="1:19">
      <c r="A44" s="51" t="str">
        <f t="shared" si="7"/>
        <v>6|4</v>
      </c>
      <c r="B44" s="52" t="s">
        <v>231</v>
      </c>
      <c r="C44" s="47" t="s">
        <v>491</v>
      </c>
      <c r="D44" s="48">
        <v>4</v>
      </c>
      <c r="E44" s="54"/>
      <c r="F44" s="54">
        <v>5</v>
      </c>
      <c r="G44" s="54">
        <v>20</v>
      </c>
      <c r="H44" s="54">
        <v>30</v>
      </c>
      <c r="I44" s="54">
        <v>25</v>
      </c>
      <c r="J44" s="53">
        <v>20</v>
      </c>
      <c r="K44" s="53"/>
      <c r="L44" s="53"/>
      <c r="M44" s="53"/>
      <c r="N44" s="53"/>
      <c r="O44" s="53"/>
      <c r="P44" s="53"/>
      <c r="S44" s="31">
        <f t="shared" si="6"/>
        <v>100</v>
      </c>
    </row>
    <row r="45" spans="1:19">
      <c r="A45" s="51" t="str">
        <f t="shared" si="7"/>
        <v>6|5</v>
      </c>
      <c r="B45" s="52" t="s">
        <v>188</v>
      </c>
      <c r="C45" s="47" t="s">
        <v>492</v>
      </c>
      <c r="D45" s="48">
        <v>5</v>
      </c>
      <c r="E45" s="54"/>
      <c r="F45" s="54">
        <v>15</v>
      </c>
      <c r="G45" s="54">
        <v>30</v>
      </c>
      <c r="H45" s="54">
        <v>30</v>
      </c>
      <c r="I45" s="54">
        <v>25</v>
      </c>
      <c r="J45" s="53"/>
      <c r="K45" s="53"/>
      <c r="L45" s="53"/>
      <c r="M45" s="53"/>
      <c r="N45" s="53"/>
      <c r="O45" s="53"/>
      <c r="P45" s="53"/>
      <c r="S45" s="31">
        <f t="shared" si="6"/>
        <v>100</v>
      </c>
    </row>
    <row r="46" spans="1:19">
      <c r="A46" s="51" t="str">
        <f t="shared" si="7"/>
        <v>6|6</v>
      </c>
      <c r="B46" s="52" t="s">
        <v>233</v>
      </c>
      <c r="C46" s="47" t="s">
        <v>498</v>
      </c>
      <c r="D46" s="48">
        <v>3</v>
      </c>
      <c r="E46" s="54"/>
      <c r="F46" s="54">
        <v>5</v>
      </c>
      <c r="G46" s="54">
        <v>10</v>
      </c>
      <c r="H46" s="54">
        <v>30</v>
      </c>
      <c r="I46" s="54">
        <v>30</v>
      </c>
      <c r="J46" s="53">
        <v>25</v>
      </c>
      <c r="K46" s="53"/>
      <c r="L46" s="53"/>
      <c r="M46" s="53"/>
      <c r="N46" s="53"/>
      <c r="O46" s="53"/>
      <c r="P46" s="53"/>
      <c r="S46" s="31">
        <f t="shared" si="6"/>
        <v>100</v>
      </c>
    </row>
    <row r="47" spans="1:19">
      <c r="A47" s="51" t="str">
        <f t="shared" si="7"/>
        <v>6|7</v>
      </c>
      <c r="B47" s="52" t="s">
        <v>471</v>
      </c>
      <c r="C47" s="47" t="s">
        <v>499</v>
      </c>
      <c r="D47" s="48">
        <v>5</v>
      </c>
      <c r="E47" s="54"/>
      <c r="F47" s="54"/>
      <c r="G47" s="54">
        <v>20</v>
      </c>
      <c r="H47" s="54">
        <v>20</v>
      </c>
      <c r="I47" s="54">
        <v>30</v>
      </c>
      <c r="J47" s="53">
        <v>30</v>
      </c>
      <c r="K47" s="53"/>
      <c r="L47" s="53"/>
      <c r="M47" s="53"/>
      <c r="N47" s="53"/>
      <c r="O47" s="53"/>
      <c r="P47" s="53"/>
      <c r="S47" s="31">
        <f t="shared" si="6"/>
        <v>100</v>
      </c>
    </row>
    <row r="48" spans="1:19">
      <c r="A48" s="51" t="str">
        <f t="shared" si="7"/>
        <v>6|8</v>
      </c>
      <c r="B48" s="52" t="s">
        <v>338</v>
      </c>
      <c r="C48" s="47" t="s">
        <v>501</v>
      </c>
      <c r="D48" s="48">
        <v>6</v>
      </c>
      <c r="E48" s="54"/>
      <c r="F48" s="54"/>
      <c r="G48" s="54">
        <v>20</v>
      </c>
      <c r="H48" s="54">
        <v>30</v>
      </c>
      <c r="I48" s="54">
        <v>30</v>
      </c>
      <c r="J48" s="53">
        <v>20</v>
      </c>
      <c r="K48" s="53"/>
      <c r="L48" s="53"/>
      <c r="M48" s="53"/>
      <c r="N48" s="53"/>
      <c r="O48" s="53"/>
      <c r="P48" s="53"/>
      <c r="S48" s="31">
        <f t="shared" si="6"/>
        <v>100</v>
      </c>
    </row>
    <row r="49" spans="1:19">
      <c r="A49" s="51" t="str">
        <f t="shared" si="7"/>
        <v>6|9</v>
      </c>
      <c r="B49" s="52" t="s">
        <v>502</v>
      </c>
      <c r="C49" s="47" t="s">
        <v>503</v>
      </c>
      <c r="D49" s="48">
        <v>6</v>
      </c>
      <c r="E49" s="54">
        <v>5</v>
      </c>
      <c r="F49" s="54">
        <v>15</v>
      </c>
      <c r="G49" s="54">
        <v>25</v>
      </c>
      <c r="H49" s="54">
        <v>25</v>
      </c>
      <c r="I49" s="54">
        <v>20</v>
      </c>
      <c r="J49" s="53">
        <v>10</v>
      </c>
      <c r="K49" s="53"/>
      <c r="L49" s="53"/>
      <c r="M49" s="53"/>
      <c r="N49" s="53"/>
      <c r="O49" s="53"/>
      <c r="P49" s="53"/>
      <c r="S49" s="31">
        <f t="shared" si="6"/>
        <v>100</v>
      </c>
    </row>
    <row r="50" spans="1:19">
      <c r="A50" s="51" t="str">
        <f t="shared" si="7"/>
        <v>6|10</v>
      </c>
      <c r="B50" s="52" t="s">
        <v>504</v>
      </c>
      <c r="C50" s="47" t="s">
        <v>493</v>
      </c>
      <c r="D50" s="48"/>
      <c r="E50" s="54">
        <v>20</v>
      </c>
      <c r="F50" s="54">
        <v>30</v>
      </c>
      <c r="G50" s="54">
        <v>30</v>
      </c>
      <c r="H50" s="54">
        <v>15</v>
      </c>
      <c r="I50" s="54">
        <v>5</v>
      </c>
      <c r="J50" s="53"/>
      <c r="K50" s="53"/>
      <c r="L50" s="53"/>
      <c r="M50" s="53"/>
      <c r="N50" s="53"/>
      <c r="O50" s="53"/>
      <c r="P50" s="53"/>
      <c r="S50" s="31">
        <f t="shared" si="6"/>
        <v>100</v>
      </c>
    </row>
    <row r="51" spans="1:19">
      <c r="A51" s="51" t="str">
        <f t="shared" si="7"/>
        <v>6|11</v>
      </c>
      <c r="B51" s="52" t="s">
        <v>758</v>
      </c>
      <c r="C51" s="47" t="s">
        <v>796</v>
      </c>
      <c r="D51" s="48"/>
      <c r="E51" s="54">
        <v>3</v>
      </c>
      <c r="F51" s="54">
        <v>12</v>
      </c>
      <c r="G51" s="54">
        <v>25</v>
      </c>
      <c r="H51" s="54">
        <v>28</v>
      </c>
      <c r="I51" s="54">
        <v>21</v>
      </c>
      <c r="J51" s="53">
        <v>11</v>
      </c>
      <c r="K51" s="53"/>
      <c r="L51" s="53"/>
      <c r="M51" s="53"/>
      <c r="N51" s="53"/>
      <c r="O51" s="53"/>
      <c r="P51" s="53"/>
      <c r="S51" s="31">
        <f t="shared" si="6"/>
        <v>100</v>
      </c>
    </row>
    <row r="52" spans="1:19" ht="5.45" customHeight="1"/>
    <row r="53" spans="1:19" ht="13.5" thickBot="1">
      <c r="A53" s="55" t="s">
        <v>80</v>
      </c>
      <c r="B53" s="56">
        <v>7</v>
      </c>
      <c r="C53" s="57"/>
      <c r="D53" s="58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1:19" ht="13.5" thickTop="1">
      <c r="A54" s="59" t="str">
        <f>CONCATENATE($B$53,"|",B54)</f>
        <v>7|1</v>
      </c>
      <c r="B54" s="46">
        <v>1</v>
      </c>
      <c r="C54" s="47" t="s">
        <v>494</v>
      </c>
      <c r="D54" s="48">
        <v>1</v>
      </c>
      <c r="E54" s="49">
        <v>15</v>
      </c>
      <c r="F54" s="49">
        <v>30</v>
      </c>
      <c r="G54" s="49">
        <v>30</v>
      </c>
      <c r="H54" s="49">
        <v>20</v>
      </c>
      <c r="I54" s="49">
        <v>5</v>
      </c>
      <c r="J54" s="50"/>
      <c r="K54" s="50"/>
      <c r="L54" s="50"/>
      <c r="M54" s="50"/>
      <c r="N54" s="50"/>
      <c r="O54" s="50"/>
      <c r="P54" s="50"/>
      <c r="S54" s="31">
        <f>SUM(E54:P54)</f>
        <v>100</v>
      </c>
    </row>
    <row r="55" spans="1:19">
      <c r="A55" s="51" t="str">
        <f>CONCATENATE($B$53,"|",B55)</f>
        <v>7|2</v>
      </c>
      <c r="B55" s="52" t="s">
        <v>189</v>
      </c>
      <c r="C55" s="47" t="s">
        <v>490</v>
      </c>
      <c r="D55" s="48">
        <v>2</v>
      </c>
      <c r="E55" s="49">
        <v>15</v>
      </c>
      <c r="F55" s="49">
        <v>20</v>
      </c>
      <c r="G55" s="49">
        <v>25</v>
      </c>
      <c r="H55" s="49">
        <v>25</v>
      </c>
      <c r="I55" s="49">
        <v>15</v>
      </c>
      <c r="J55" s="53"/>
      <c r="K55" s="53"/>
      <c r="L55" s="53"/>
      <c r="M55" s="53"/>
      <c r="N55" s="53"/>
      <c r="O55" s="53"/>
      <c r="P55" s="53"/>
      <c r="S55" s="31">
        <f t="shared" ref="S55:S64" si="8">SUM(E55:P55)</f>
        <v>100</v>
      </c>
    </row>
    <row r="56" spans="1:19">
      <c r="A56" s="51" t="str">
        <f t="shared" ref="A56:A64" si="9">CONCATENATE($B$53,"|",B56)</f>
        <v>7|3</v>
      </c>
      <c r="B56" s="52" t="s">
        <v>213</v>
      </c>
      <c r="C56" s="47" t="s">
        <v>496</v>
      </c>
      <c r="D56" s="48">
        <v>3</v>
      </c>
      <c r="E56" s="54">
        <v>5</v>
      </c>
      <c r="F56" s="54">
        <v>15</v>
      </c>
      <c r="G56" s="54">
        <v>20</v>
      </c>
      <c r="H56" s="54">
        <v>25</v>
      </c>
      <c r="I56" s="54">
        <v>20</v>
      </c>
      <c r="J56" s="53">
        <v>15</v>
      </c>
      <c r="K56" s="53"/>
      <c r="L56" s="53"/>
      <c r="M56" s="53"/>
      <c r="N56" s="53"/>
      <c r="O56" s="53"/>
      <c r="P56" s="53"/>
      <c r="S56" s="31">
        <f t="shared" si="8"/>
        <v>100</v>
      </c>
    </row>
    <row r="57" spans="1:19">
      <c r="A57" s="51" t="str">
        <f t="shared" si="9"/>
        <v>7|4</v>
      </c>
      <c r="B57" s="52" t="s">
        <v>231</v>
      </c>
      <c r="C57" s="47" t="s">
        <v>491</v>
      </c>
      <c r="D57" s="48">
        <v>4</v>
      </c>
      <c r="E57" s="54"/>
      <c r="F57" s="54"/>
      <c r="G57" s="54">
        <v>15</v>
      </c>
      <c r="H57" s="54">
        <v>25</v>
      </c>
      <c r="I57" s="54">
        <v>25</v>
      </c>
      <c r="J57" s="53">
        <v>25</v>
      </c>
      <c r="K57" s="53">
        <v>10</v>
      </c>
      <c r="L57" s="53"/>
      <c r="M57" s="53"/>
      <c r="N57" s="53"/>
      <c r="O57" s="53"/>
      <c r="P57" s="53"/>
      <c r="S57" s="31">
        <f t="shared" si="8"/>
        <v>100</v>
      </c>
    </row>
    <row r="58" spans="1:19">
      <c r="A58" s="51" t="str">
        <f t="shared" si="9"/>
        <v>7|5</v>
      </c>
      <c r="B58" s="52" t="s">
        <v>188</v>
      </c>
      <c r="C58" s="47" t="s">
        <v>492</v>
      </c>
      <c r="D58" s="48">
        <v>5</v>
      </c>
      <c r="E58" s="54"/>
      <c r="F58" s="54">
        <v>10</v>
      </c>
      <c r="G58" s="54">
        <v>15</v>
      </c>
      <c r="H58" s="54">
        <v>30</v>
      </c>
      <c r="I58" s="54">
        <v>30</v>
      </c>
      <c r="J58" s="53">
        <v>15</v>
      </c>
      <c r="K58" s="53"/>
      <c r="L58" s="53"/>
      <c r="M58" s="53"/>
      <c r="N58" s="53"/>
      <c r="O58" s="53"/>
      <c r="P58" s="53"/>
      <c r="S58" s="31">
        <f t="shared" si="8"/>
        <v>100</v>
      </c>
    </row>
    <row r="59" spans="1:19">
      <c r="A59" s="51" t="str">
        <f t="shared" si="9"/>
        <v>7|6</v>
      </c>
      <c r="B59" s="52" t="s">
        <v>233</v>
      </c>
      <c r="C59" s="47" t="s">
        <v>498</v>
      </c>
      <c r="D59" s="48">
        <v>3</v>
      </c>
      <c r="E59" s="54"/>
      <c r="F59" s="54">
        <v>5</v>
      </c>
      <c r="G59" s="54">
        <v>10</v>
      </c>
      <c r="H59" s="54">
        <v>25</v>
      </c>
      <c r="I59" s="54">
        <v>25</v>
      </c>
      <c r="J59" s="53">
        <v>20</v>
      </c>
      <c r="K59" s="53">
        <v>15</v>
      </c>
      <c r="L59" s="53"/>
      <c r="M59" s="53"/>
      <c r="N59" s="53"/>
      <c r="O59" s="53"/>
      <c r="P59" s="53"/>
      <c r="S59" s="31">
        <f t="shared" si="8"/>
        <v>100</v>
      </c>
    </row>
    <row r="60" spans="1:19">
      <c r="A60" s="51" t="str">
        <f t="shared" si="9"/>
        <v>7|7</v>
      </c>
      <c r="B60" s="52" t="s">
        <v>471</v>
      </c>
      <c r="C60" s="47" t="s">
        <v>499</v>
      </c>
      <c r="D60" s="48">
        <v>5</v>
      </c>
      <c r="E60" s="54"/>
      <c r="F60" s="54"/>
      <c r="G60" s="54">
        <v>15</v>
      </c>
      <c r="H60" s="54">
        <v>15</v>
      </c>
      <c r="I60" s="54">
        <v>25</v>
      </c>
      <c r="J60" s="54">
        <v>25</v>
      </c>
      <c r="K60" s="53">
        <v>20</v>
      </c>
      <c r="L60" s="53"/>
      <c r="M60" s="53"/>
      <c r="N60" s="53"/>
      <c r="O60" s="53"/>
      <c r="P60" s="53"/>
      <c r="S60" s="31">
        <f t="shared" si="8"/>
        <v>100</v>
      </c>
    </row>
    <row r="61" spans="1:19">
      <c r="A61" s="51" t="str">
        <f t="shared" si="9"/>
        <v>7|8</v>
      </c>
      <c r="B61" s="52" t="s">
        <v>338</v>
      </c>
      <c r="C61" s="47" t="s">
        <v>501</v>
      </c>
      <c r="D61" s="48">
        <v>6</v>
      </c>
      <c r="E61" s="54"/>
      <c r="F61" s="54"/>
      <c r="G61" s="54">
        <v>10</v>
      </c>
      <c r="H61" s="54">
        <v>20</v>
      </c>
      <c r="I61" s="54">
        <v>20</v>
      </c>
      <c r="J61" s="53">
        <v>30</v>
      </c>
      <c r="K61" s="53">
        <v>20</v>
      </c>
      <c r="L61" s="53"/>
      <c r="M61" s="53"/>
      <c r="N61" s="53"/>
      <c r="O61" s="53"/>
      <c r="P61" s="53"/>
      <c r="S61" s="31">
        <f t="shared" si="8"/>
        <v>100</v>
      </c>
    </row>
    <row r="62" spans="1:19">
      <c r="A62" s="51" t="str">
        <f t="shared" si="9"/>
        <v>7|9</v>
      </c>
      <c r="B62" s="52" t="s">
        <v>502</v>
      </c>
      <c r="C62" s="47" t="s">
        <v>503</v>
      </c>
      <c r="D62" s="48">
        <v>6</v>
      </c>
      <c r="E62" s="54">
        <v>5</v>
      </c>
      <c r="F62" s="54">
        <v>10</v>
      </c>
      <c r="G62" s="54">
        <v>20</v>
      </c>
      <c r="H62" s="54">
        <v>20</v>
      </c>
      <c r="I62" s="54">
        <v>20</v>
      </c>
      <c r="J62" s="53">
        <v>15</v>
      </c>
      <c r="K62" s="53">
        <v>10</v>
      </c>
      <c r="L62" s="53"/>
      <c r="M62" s="53"/>
      <c r="N62" s="53"/>
      <c r="O62" s="53"/>
      <c r="P62" s="53"/>
      <c r="S62" s="31">
        <f t="shared" si="8"/>
        <v>100</v>
      </c>
    </row>
    <row r="63" spans="1:19">
      <c r="A63" s="51" t="str">
        <f t="shared" si="9"/>
        <v>7|10</v>
      </c>
      <c r="B63" s="52" t="s">
        <v>504</v>
      </c>
      <c r="C63" s="47" t="s">
        <v>493</v>
      </c>
      <c r="D63" s="48"/>
      <c r="E63" s="54">
        <v>15</v>
      </c>
      <c r="F63" s="54">
        <v>25</v>
      </c>
      <c r="G63" s="54">
        <v>25</v>
      </c>
      <c r="H63" s="54">
        <v>20</v>
      </c>
      <c r="I63" s="54">
        <v>10</v>
      </c>
      <c r="J63" s="53">
        <v>5</v>
      </c>
      <c r="K63" s="53"/>
      <c r="L63" s="53"/>
      <c r="M63" s="53"/>
      <c r="N63" s="53"/>
      <c r="O63" s="53"/>
      <c r="P63" s="53"/>
      <c r="S63" s="31">
        <f t="shared" si="8"/>
        <v>100</v>
      </c>
    </row>
    <row r="64" spans="1:19">
      <c r="A64" s="51" t="str">
        <f t="shared" si="9"/>
        <v>7|11</v>
      </c>
      <c r="B64" s="52" t="s">
        <v>758</v>
      </c>
      <c r="C64" s="47" t="s">
        <v>796</v>
      </c>
      <c r="D64" s="48"/>
      <c r="E64" s="54">
        <v>2</v>
      </c>
      <c r="F64" s="54">
        <v>8</v>
      </c>
      <c r="G64" s="54">
        <v>18</v>
      </c>
      <c r="H64" s="54">
        <v>20</v>
      </c>
      <c r="I64" s="54">
        <v>20</v>
      </c>
      <c r="J64" s="53">
        <v>20</v>
      </c>
      <c r="K64" s="53">
        <v>12</v>
      </c>
      <c r="L64" s="53"/>
      <c r="M64" s="53"/>
      <c r="N64" s="53"/>
      <c r="O64" s="53"/>
      <c r="P64" s="53"/>
      <c r="S64" s="31">
        <f t="shared" si="8"/>
        <v>100</v>
      </c>
    </row>
    <row r="65" spans="1:19" ht="5.45" customHeight="1"/>
    <row r="66" spans="1:19" ht="13.5" thickBot="1">
      <c r="A66" s="55" t="s">
        <v>80</v>
      </c>
      <c r="B66" s="56">
        <v>8</v>
      </c>
      <c r="C66" s="57"/>
      <c r="D66" s="58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</row>
    <row r="67" spans="1:19" ht="13.5" thickTop="1">
      <c r="A67" s="59" t="str">
        <f>CONCATENATE($B$66,"|",B67)</f>
        <v>8|1</v>
      </c>
      <c r="B67" s="46">
        <v>1</v>
      </c>
      <c r="C67" s="47" t="s">
        <v>494</v>
      </c>
      <c r="D67" s="48">
        <v>1</v>
      </c>
      <c r="E67" s="49">
        <v>15</v>
      </c>
      <c r="F67" s="49">
        <v>20</v>
      </c>
      <c r="G67" s="49">
        <v>25</v>
      </c>
      <c r="H67" s="49">
        <v>25</v>
      </c>
      <c r="I67" s="49">
        <v>10</v>
      </c>
      <c r="J67" s="50">
        <v>5</v>
      </c>
      <c r="K67" s="50"/>
      <c r="L67" s="50"/>
      <c r="M67" s="50"/>
      <c r="N67" s="50"/>
      <c r="O67" s="50"/>
      <c r="P67" s="50"/>
      <c r="S67" s="31">
        <f>SUM(E67:P67)</f>
        <v>100</v>
      </c>
    </row>
    <row r="68" spans="1:19">
      <c r="A68" s="51" t="str">
        <f>CONCATENATE($B$66,"|",B68)</f>
        <v>8|2</v>
      </c>
      <c r="B68" s="52" t="s">
        <v>189</v>
      </c>
      <c r="C68" s="47" t="s">
        <v>490</v>
      </c>
      <c r="D68" s="48">
        <v>2</v>
      </c>
      <c r="E68" s="49">
        <v>15</v>
      </c>
      <c r="F68" s="49">
        <v>20</v>
      </c>
      <c r="G68" s="49">
        <v>25</v>
      </c>
      <c r="H68" s="49">
        <v>25</v>
      </c>
      <c r="I68" s="49">
        <v>10</v>
      </c>
      <c r="J68" s="53">
        <v>5</v>
      </c>
      <c r="K68" s="53"/>
      <c r="L68" s="53"/>
      <c r="M68" s="53"/>
      <c r="N68" s="53"/>
      <c r="O68" s="53"/>
      <c r="P68" s="53"/>
      <c r="S68" s="31">
        <f t="shared" ref="S68:S77" si="10">SUM(E68:P68)</f>
        <v>100</v>
      </c>
    </row>
    <row r="69" spans="1:19">
      <c r="A69" s="51" t="str">
        <f t="shared" ref="A69:A77" si="11">CONCATENATE($B$66,"|",B69)</f>
        <v>8|3</v>
      </c>
      <c r="B69" s="52" t="s">
        <v>213</v>
      </c>
      <c r="C69" s="47" t="s">
        <v>496</v>
      </c>
      <c r="D69" s="48">
        <v>3</v>
      </c>
      <c r="E69" s="54">
        <v>5</v>
      </c>
      <c r="F69" s="54">
        <v>10</v>
      </c>
      <c r="G69" s="54">
        <v>15</v>
      </c>
      <c r="H69" s="54">
        <v>20</v>
      </c>
      <c r="I69" s="54">
        <v>20</v>
      </c>
      <c r="J69" s="53">
        <v>20</v>
      </c>
      <c r="K69" s="53">
        <v>10</v>
      </c>
      <c r="L69" s="53"/>
      <c r="M69" s="53"/>
      <c r="N69" s="53"/>
      <c r="O69" s="53"/>
      <c r="P69" s="53"/>
      <c r="S69" s="31">
        <f t="shared" si="10"/>
        <v>100</v>
      </c>
    </row>
    <row r="70" spans="1:19">
      <c r="A70" s="51" t="str">
        <f t="shared" si="11"/>
        <v>8|4</v>
      </c>
      <c r="B70" s="52" t="s">
        <v>231</v>
      </c>
      <c r="C70" s="47" t="s">
        <v>491</v>
      </c>
      <c r="D70" s="48">
        <v>4</v>
      </c>
      <c r="E70" s="54"/>
      <c r="F70" s="54"/>
      <c r="G70" s="54">
        <v>10</v>
      </c>
      <c r="H70" s="54">
        <v>25</v>
      </c>
      <c r="I70" s="54">
        <v>25</v>
      </c>
      <c r="J70" s="53">
        <v>20</v>
      </c>
      <c r="K70" s="53">
        <v>10</v>
      </c>
      <c r="L70" s="53">
        <v>10</v>
      </c>
      <c r="M70" s="53"/>
      <c r="N70" s="53"/>
      <c r="O70" s="53"/>
      <c r="P70" s="53"/>
      <c r="S70" s="31">
        <f t="shared" si="10"/>
        <v>100</v>
      </c>
    </row>
    <row r="71" spans="1:19">
      <c r="A71" s="51" t="str">
        <f t="shared" si="11"/>
        <v>8|5</v>
      </c>
      <c r="B71" s="52" t="s">
        <v>188</v>
      </c>
      <c r="C71" s="47" t="s">
        <v>492</v>
      </c>
      <c r="D71" s="48">
        <v>5</v>
      </c>
      <c r="E71" s="54"/>
      <c r="F71" s="54">
        <v>5</v>
      </c>
      <c r="G71" s="54">
        <v>15</v>
      </c>
      <c r="H71" s="54">
        <v>25</v>
      </c>
      <c r="I71" s="54">
        <v>25</v>
      </c>
      <c r="J71" s="53">
        <v>15</v>
      </c>
      <c r="K71" s="53">
        <v>15</v>
      </c>
      <c r="L71" s="53"/>
      <c r="M71" s="53"/>
      <c r="N71" s="53"/>
      <c r="O71" s="53"/>
      <c r="P71" s="53"/>
      <c r="S71" s="31">
        <f t="shared" si="10"/>
        <v>100</v>
      </c>
    </row>
    <row r="72" spans="1:19">
      <c r="A72" s="51" t="str">
        <f t="shared" si="11"/>
        <v>8|6</v>
      </c>
      <c r="B72" s="52" t="s">
        <v>233</v>
      </c>
      <c r="C72" s="47" t="s">
        <v>498</v>
      </c>
      <c r="D72" s="48">
        <v>3</v>
      </c>
      <c r="E72" s="54"/>
      <c r="F72" s="54"/>
      <c r="G72" s="54">
        <v>5</v>
      </c>
      <c r="H72" s="54">
        <v>20</v>
      </c>
      <c r="I72" s="54">
        <v>20</v>
      </c>
      <c r="J72" s="53">
        <v>25</v>
      </c>
      <c r="K72" s="53">
        <v>20</v>
      </c>
      <c r="L72" s="53">
        <v>10</v>
      </c>
      <c r="M72" s="53"/>
      <c r="N72" s="53"/>
      <c r="O72" s="53"/>
      <c r="P72" s="53"/>
      <c r="S72" s="31">
        <f t="shared" si="10"/>
        <v>100</v>
      </c>
    </row>
    <row r="73" spans="1:19">
      <c r="A73" s="51" t="str">
        <f t="shared" si="11"/>
        <v>8|7</v>
      </c>
      <c r="B73" s="52" t="s">
        <v>471</v>
      </c>
      <c r="C73" s="47" t="s">
        <v>499</v>
      </c>
      <c r="D73" s="48">
        <v>5</v>
      </c>
      <c r="E73" s="54"/>
      <c r="F73" s="54"/>
      <c r="G73" s="54">
        <v>5</v>
      </c>
      <c r="H73" s="54">
        <v>15</v>
      </c>
      <c r="I73" s="54">
        <v>20</v>
      </c>
      <c r="J73" s="54">
        <v>25</v>
      </c>
      <c r="K73" s="54">
        <v>25</v>
      </c>
      <c r="L73" s="54">
        <v>10</v>
      </c>
      <c r="M73" s="53"/>
      <c r="N73" s="53"/>
      <c r="O73" s="53"/>
      <c r="P73" s="53"/>
      <c r="S73" s="31">
        <f t="shared" si="10"/>
        <v>100</v>
      </c>
    </row>
    <row r="74" spans="1:19">
      <c r="A74" s="51" t="str">
        <f t="shared" si="11"/>
        <v>8|8</v>
      </c>
      <c r="B74" s="52" t="s">
        <v>338</v>
      </c>
      <c r="C74" s="47" t="s">
        <v>501</v>
      </c>
      <c r="D74" s="48">
        <v>6</v>
      </c>
      <c r="E74" s="54"/>
      <c r="F74" s="54"/>
      <c r="G74" s="54"/>
      <c r="H74" s="54">
        <v>20</v>
      </c>
      <c r="I74" s="54">
        <v>20</v>
      </c>
      <c r="J74" s="53">
        <v>30</v>
      </c>
      <c r="K74" s="53">
        <v>20</v>
      </c>
      <c r="L74" s="53">
        <v>10</v>
      </c>
      <c r="M74" s="53"/>
      <c r="N74" s="53"/>
      <c r="O74" s="53"/>
      <c r="P74" s="53"/>
      <c r="S74" s="31">
        <f t="shared" si="10"/>
        <v>100</v>
      </c>
    </row>
    <row r="75" spans="1:19">
      <c r="A75" s="51" t="str">
        <f t="shared" si="11"/>
        <v>8|9</v>
      </c>
      <c r="B75" s="52" t="s">
        <v>502</v>
      </c>
      <c r="C75" s="47" t="s">
        <v>503</v>
      </c>
      <c r="D75" s="48">
        <v>6</v>
      </c>
      <c r="E75" s="54">
        <v>5</v>
      </c>
      <c r="F75" s="54">
        <v>5</v>
      </c>
      <c r="G75" s="54">
        <v>10</v>
      </c>
      <c r="H75" s="54">
        <v>15</v>
      </c>
      <c r="I75" s="54">
        <v>20</v>
      </c>
      <c r="J75" s="53">
        <v>20</v>
      </c>
      <c r="K75" s="53">
        <v>15</v>
      </c>
      <c r="L75" s="53">
        <v>10</v>
      </c>
      <c r="M75" s="53"/>
      <c r="N75" s="53"/>
      <c r="O75" s="53"/>
      <c r="P75" s="53"/>
      <c r="S75" s="31">
        <f t="shared" si="10"/>
        <v>100</v>
      </c>
    </row>
    <row r="76" spans="1:19">
      <c r="A76" s="51" t="str">
        <f t="shared" si="11"/>
        <v>8|10</v>
      </c>
      <c r="B76" s="52" t="s">
        <v>504</v>
      </c>
      <c r="C76" s="47" t="s">
        <v>493</v>
      </c>
      <c r="D76" s="48"/>
      <c r="E76" s="54">
        <v>15</v>
      </c>
      <c r="F76" s="54">
        <v>20</v>
      </c>
      <c r="G76" s="54">
        <v>20</v>
      </c>
      <c r="H76" s="54">
        <v>20</v>
      </c>
      <c r="I76" s="54">
        <v>15</v>
      </c>
      <c r="J76" s="53">
        <v>10</v>
      </c>
      <c r="K76" s="53"/>
      <c r="L76" s="53"/>
      <c r="M76" s="53"/>
      <c r="N76" s="53"/>
      <c r="O76" s="53"/>
      <c r="P76" s="53"/>
      <c r="S76" s="31">
        <f t="shared" si="10"/>
        <v>100</v>
      </c>
    </row>
    <row r="77" spans="1:19">
      <c r="A77" s="51" t="str">
        <f t="shared" si="11"/>
        <v>8|11</v>
      </c>
      <c r="B77" s="52" t="s">
        <v>758</v>
      </c>
      <c r="C77" s="47" t="s">
        <v>796</v>
      </c>
      <c r="D77" s="48"/>
      <c r="E77" s="54">
        <v>2</v>
      </c>
      <c r="F77" s="54">
        <v>2</v>
      </c>
      <c r="G77" s="54">
        <v>13</v>
      </c>
      <c r="H77" s="54">
        <v>15</v>
      </c>
      <c r="I77" s="54">
        <v>15</v>
      </c>
      <c r="J77" s="53">
        <v>22</v>
      </c>
      <c r="K77" s="53">
        <v>23</v>
      </c>
      <c r="L77" s="53">
        <v>8</v>
      </c>
      <c r="M77" s="53"/>
      <c r="N77" s="53"/>
      <c r="O77" s="53"/>
      <c r="P77" s="53"/>
      <c r="S77" s="31">
        <f t="shared" si="10"/>
        <v>100</v>
      </c>
    </row>
    <row r="78" spans="1:19" ht="5.45" customHeight="1"/>
    <row r="79" spans="1:19" ht="13.5" thickBot="1">
      <c r="A79" s="55" t="s">
        <v>80</v>
      </c>
      <c r="B79" s="56">
        <v>9</v>
      </c>
      <c r="C79" s="57"/>
      <c r="D79" s="58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</row>
    <row r="80" spans="1:19" ht="13.5" thickTop="1">
      <c r="A80" s="59" t="str">
        <f>CONCATENATE($B$79,"|",B80)</f>
        <v>9|1</v>
      </c>
      <c r="B80" s="46">
        <v>1</v>
      </c>
      <c r="C80" s="47" t="s">
        <v>494</v>
      </c>
      <c r="D80" s="48">
        <v>1</v>
      </c>
      <c r="E80" s="49">
        <v>15</v>
      </c>
      <c r="F80" s="49">
        <v>15</v>
      </c>
      <c r="G80" s="49">
        <v>20</v>
      </c>
      <c r="H80" s="49">
        <v>20</v>
      </c>
      <c r="I80" s="49">
        <v>20</v>
      </c>
      <c r="J80" s="50">
        <v>10</v>
      </c>
      <c r="K80" s="50"/>
      <c r="L80" s="50"/>
      <c r="M80" s="50"/>
      <c r="N80" s="50"/>
      <c r="O80" s="50"/>
      <c r="P80" s="50"/>
      <c r="S80" s="31">
        <f>SUM(E80:P80)</f>
        <v>100</v>
      </c>
    </row>
    <row r="81" spans="1:19">
      <c r="A81" s="51" t="str">
        <f>CONCATENATE($B$79,"|",B81)</f>
        <v>9|2</v>
      </c>
      <c r="B81" s="52" t="s">
        <v>189</v>
      </c>
      <c r="C81" s="47" t="s">
        <v>490</v>
      </c>
      <c r="D81" s="48">
        <v>2</v>
      </c>
      <c r="E81" s="49">
        <v>10</v>
      </c>
      <c r="F81" s="49">
        <v>15</v>
      </c>
      <c r="G81" s="49">
        <v>20</v>
      </c>
      <c r="H81" s="49">
        <v>20</v>
      </c>
      <c r="I81" s="49">
        <v>15</v>
      </c>
      <c r="J81" s="53">
        <v>15</v>
      </c>
      <c r="K81" s="53">
        <v>5</v>
      </c>
      <c r="L81" s="53"/>
      <c r="M81" s="53"/>
      <c r="N81" s="53"/>
      <c r="O81" s="53"/>
      <c r="P81" s="53"/>
      <c r="S81" s="31">
        <f t="shared" ref="S81:S90" si="12">SUM(E81:P81)</f>
        <v>100</v>
      </c>
    </row>
    <row r="82" spans="1:19">
      <c r="A82" s="51" t="str">
        <f t="shared" ref="A82:A90" si="13">CONCATENATE($B$79,"|",B82)</f>
        <v>9|3</v>
      </c>
      <c r="B82" s="52" t="s">
        <v>213</v>
      </c>
      <c r="C82" s="47" t="s">
        <v>496</v>
      </c>
      <c r="D82" s="48">
        <v>3</v>
      </c>
      <c r="E82" s="54">
        <v>5</v>
      </c>
      <c r="F82" s="54">
        <v>10</v>
      </c>
      <c r="G82" s="54">
        <v>15</v>
      </c>
      <c r="H82" s="54">
        <v>20</v>
      </c>
      <c r="I82" s="54">
        <v>20</v>
      </c>
      <c r="J82" s="53">
        <v>10</v>
      </c>
      <c r="K82" s="53">
        <v>10</v>
      </c>
      <c r="L82" s="53">
        <v>10</v>
      </c>
      <c r="M82" s="53"/>
      <c r="N82" s="53"/>
      <c r="O82" s="53"/>
      <c r="P82" s="53"/>
      <c r="S82" s="31">
        <f t="shared" si="12"/>
        <v>100</v>
      </c>
    </row>
    <row r="83" spans="1:19">
      <c r="A83" s="51" t="str">
        <f t="shared" si="13"/>
        <v>9|4</v>
      </c>
      <c r="B83" s="52" t="s">
        <v>231</v>
      </c>
      <c r="C83" s="47" t="s">
        <v>491</v>
      </c>
      <c r="D83" s="48">
        <v>4</v>
      </c>
      <c r="E83" s="54"/>
      <c r="F83" s="54"/>
      <c r="G83" s="54">
        <v>5</v>
      </c>
      <c r="H83" s="54">
        <v>15</v>
      </c>
      <c r="I83" s="54">
        <v>20</v>
      </c>
      <c r="J83" s="53">
        <v>20</v>
      </c>
      <c r="K83" s="53">
        <v>20</v>
      </c>
      <c r="L83" s="53">
        <v>15</v>
      </c>
      <c r="M83" s="53">
        <v>5</v>
      </c>
      <c r="N83" s="53"/>
      <c r="O83" s="53"/>
      <c r="P83" s="53"/>
      <c r="S83" s="31">
        <f t="shared" si="12"/>
        <v>100</v>
      </c>
    </row>
    <row r="84" spans="1:19">
      <c r="A84" s="51" t="str">
        <f t="shared" si="13"/>
        <v>9|5</v>
      </c>
      <c r="B84" s="52" t="s">
        <v>188</v>
      </c>
      <c r="C84" s="47" t="s">
        <v>492</v>
      </c>
      <c r="D84" s="48">
        <v>5</v>
      </c>
      <c r="E84" s="54"/>
      <c r="F84" s="54">
        <v>5</v>
      </c>
      <c r="G84" s="54">
        <v>10</v>
      </c>
      <c r="H84" s="54">
        <v>15</v>
      </c>
      <c r="I84" s="54">
        <v>20</v>
      </c>
      <c r="J84" s="53">
        <v>20</v>
      </c>
      <c r="K84" s="53">
        <v>20</v>
      </c>
      <c r="L84" s="53">
        <v>10</v>
      </c>
      <c r="M84" s="53"/>
      <c r="N84" s="53"/>
      <c r="O84" s="53"/>
      <c r="P84" s="53"/>
      <c r="S84" s="31">
        <f t="shared" si="12"/>
        <v>100</v>
      </c>
    </row>
    <row r="85" spans="1:19">
      <c r="A85" s="51" t="str">
        <f t="shared" si="13"/>
        <v>9|6</v>
      </c>
      <c r="B85" s="52" t="s">
        <v>233</v>
      </c>
      <c r="C85" s="47" t="s">
        <v>498</v>
      </c>
      <c r="D85" s="48">
        <v>3</v>
      </c>
      <c r="E85" s="54"/>
      <c r="F85" s="54"/>
      <c r="G85" s="54">
        <v>5</v>
      </c>
      <c r="H85" s="54">
        <v>10</v>
      </c>
      <c r="I85" s="54">
        <v>20</v>
      </c>
      <c r="J85" s="53">
        <v>20</v>
      </c>
      <c r="K85" s="53">
        <v>20</v>
      </c>
      <c r="L85" s="53">
        <v>15</v>
      </c>
      <c r="M85" s="53">
        <v>10</v>
      </c>
      <c r="N85" s="53"/>
      <c r="O85" s="53"/>
      <c r="P85" s="53"/>
      <c r="S85" s="31">
        <f t="shared" si="12"/>
        <v>100</v>
      </c>
    </row>
    <row r="86" spans="1:19">
      <c r="A86" s="51" t="str">
        <f t="shared" si="13"/>
        <v>9|7</v>
      </c>
      <c r="B86" s="52" t="s">
        <v>471</v>
      </c>
      <c r="C86" s="47" t="s">
        <v>499</v>
      </c>
      <c r="D86" s="48">
        <v>5</v>
      </c>
      <c r="E86" s="54"/>
      <c r="F86" s="54"/>
      <c r="G86" s="54"/>
      <c r="H86" s="54">
        <v>15</v>
      </c>
      <c r="I86" s="54">
        <v>15</v>
      </c>
      <c r="J86" s="53">
        <v>15</v>
      </c>
      <c r="K86" s="53">
        <v>20</v>
      </c>
      <c r="L86" s="53">
        <v>20</v>
      </c>
      <c r="M86" s="53">
        <v>15</v>
      </c>
      <c r="N86" s="53"/>
      <c r="O86" s="53"/>
      <c r="P86" s="53"/>
      <c r="S86" s="31">
        <f t="shared" si="12"/>
        <v>100</v>
      </c>
    </row>
    <row r="87" spans="1:19">
      <c r="A87" s="51" t="str">
        <f t="shared" si="13"/>
        <v>9|8</v>
      </c>
      <c r="B87" s="52" t="s">
        <v>338</v>
      </c>
      <c r="C87" s="47" t="s">
        <v>501</v>
      </c>
      <c r="D87" s="48">
        <v>6</v>
      </c>
      <c r="E87" s="54"/>
      <c r="F87" s="54"/>
      <c r="G87" s="54"/>
      <c r="H87" s="54">
        <v>10</v>
      </c>
      <c r="I87" s="54">
        <v>20</v>
      </c>
      <c r="J87" s="53">
        <v>30</v>
      </c>
      <c r="K87" s="53">
        <v>20</v>
      </c>
      <c r="L87" s="53">
        <v>10</v>
      </c>
      <c r="M87" s="53">
        <v>10</v>
      </c>
      <c r="N87" s="53"/>
      <c r="O87" s="53"/>
      <c r="P87" s="53"/>
      <c r="S87" s="31">
        <f t="shared" si="12"/>
        <v>100</v>
      </c>
    </row>
    <row r="88" spans="1:19">
      <c r="A88" s="51" t="str">
        <f t="shared" si="13"/>
        <v>9|9</v>
      </c>
      <c r="B88" s="52" t="s">
        <v>502</v>
      </c>
      <c r="C88" s="47" t="s">
        <v>503</v>
      </c>
      <c r="D88" s="48">
        <v>6</v>
      </c>
      <c r="E88" s="54">
        <v>5</v>
      </c>
      <c r="F88" s="54">
        <v>5</v>
      </c>
      <c r="G88" s="54">
        <v>10</v>
      </c>
      <c r="H88" s="54">
        <v>15</v>
      </c>
      <c r="I88" s="54">
        <v>20</v>
      </c>
      <c r="J88" s="53">
        <v>15</v>
      </c>
      <c r="K88" s="53">
        <v>15</v>
      </c>
      <c r="L88" s="53">
        <v>15</v>
      </c>
      <c r="M88" s="53"/>
      <c r="N88" s="53"/>
      <c r="O88" s="53"/>
      <c r="P88" s="53"/>
      <c r="S88" s="31">
        <f t="shared" si="12"/>
        <v>100</v>
      </c>
    </row>
    <row r="89" spans="1:19">
      <c r="A89" s="51" t="str">
        <f t="shared" si="13"/>
        <v>9|10</v>
      </c>
      <c r="B89" s="52" t="s">
        <v>504</v>
      </c>
      <c r="C89" s="47" t="s">
        <v>493</v>
      </c>
      <c r="D89" s="48"/>
      <c r="E89" s="54">
        <v>10</v>
      </c>
      <c r="F89" s="54">
        <v>15</v>
      </c>
      <c r="G89" s="54">
        <v>20</v>
      </c>
      <c r="H89" s="54">
        <v>20</v>
      </c>
      <c r="I89" s="54">
        <v>20</v>
      </c>
      <c r="J89" s="53">
        <v>10</v>
      </c>
      <c r="K89" s="53">
        <v>5</v>
      </c>
      <c r="L89" s="53"/>
      <c r="M89" s="53"/>
      <c r="N89" s="53"/>
      <c r="O89" s="53"/>
      <c r="P89" s="53"/>
      <c r="S89" s="31">
        <f t="shared" si="12"/>
        <v>100</v>
      </c>
    </row>
    <row r="90" spans="1:19">
      <c r="A90" s="51" t="str">
        <f t="shared" si="13"/>
        <v>9|11</v>
      </c>
      <c r="B90" s="52" t="s">
        <v>758</v>
      </c>
      <c r="C90" s="47" t="s">
        <v>796</v>
      </c>
      <c r="D90" s="48"/>
      <c r="E90" s="54">
        <v>3</v>
      </c>
      <c r="F90" s="54">
        <v>5</v>
      </c>
      <c r="G90" s="54">
        <v>11</v>
      </c>
      <c r="H90" s="54">
        <v>15</v>
      </c>
      <c r="I90" s="54">
        <v>20</v>
      </c>
      <c r="J90" s="53">
        <v>16</v>
      </c>
      <c r="K90" s="53">
        <v>14</v>
      </c>
      <c r="L90" s="53">
        <v>10</v>
      </c>
      <c r="M90" s="53">
        <v>6</v>
      </c>
      <c r="N90" s="53"/>
      <c r="O90" s="53"/>
      <c r="P90" s="53"/>
      <c r="S90" s="31">
        <f t="shared" si="12"/>
        <v>100</v>
      </c>
    </row>
    <row r="91" spans="1:19" ht="5.45" customHeight="1"/>
    <row r="92" spans="1:19" ht="13.5" thickBot="1">
      <c r="A92" s="55" t="s">
        <v>80</v>
      </c>
      <c r="B92" s="56">
        <v>10</v>
      </c>
      <c r="C92" s="57"/>
      <c r="D92" s="58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</row>
    <row r="93" spans="1:19" ht="13.5" thickTop="1">
      <c r="A93" s="59" t="str">
        <f>CONCATENATE($B$92,"|",B93)</f>
        <v>10|1</v>
      </c>
      <c r="B93" s="46">
        <v>1</v>
      </c>
      <c r="C93" s="47" t="s">
        <v>494</v>
      </c>
      <c r="D93" s="48">
        <v>1</v>
      </c>
      <c r="E93" s="49">
        <v>20</v>
      </c>
      <c r="F93" s="49">
        <v>20</v>
      </c>
      <c r="G93" s="49">
        <v>20</v>
      </c>
      <c r="H93" s="49">
        <v>10</v>
      </c>
      <c r="I93" s="49">
        <v>10</v>
      </c>
      <c r="J93" s="50">
        <v>10</v>
      </c>
      <c r="K93" s="50">
        <v>10</v>
      </c>
      <c r="L93" s="50"/>
      <c r="M93" s="50"/>
      <c r="N93" s="50"/>
      <c r="O93" s="50"/>
      <c r="P93" s="50"/>
      <c r="S93" s="31">
        <f>SUM(E93:P93)</f>
        <v>100</v>
      </c>
    </row>
    <row r="94" spans="1:19">
      <c r="A94" s="51" t="str">
        <f>CONCATENATE($B$92,"|",B94)</f>
        <v>10|2</v>
      </c>
      <c r="B94" s="52" t="s">
        <v>189</v>
      </c>
      <c r="C94" s="47" t="s">
        <v>490</v>
      </c>
      <c r="D94" s="48">
        <v>2</v>
      </c>
      <c r="E94" s="49">
        <v>5</v>
      </c>
      <c r="F94" s="49">
        <v>10</v>
      </c>
      <c r="G94" s="49">
        <v>15</v>
      </c>
      <c r="H94" s="49">
        <v>20</v>
      </c>
      <c r="I94" s="49">
        <v>20</v>
      </c>
      <c r="J94" s="53">
        <v>15</v>
      </c>
      <c r="K94" s="53">
        <v>10</v>
      </c>
      <c r="L94" s="53">
        <v>5</v>
      </c>
      <c r="M94" s="53"/>
      <c r="N94" s="53"/>
      <c r="O94" s="53"/>
      <c r="P94" s="53"/>
      <c r="S94" s="31">
        <f t="shared" ref="S94:S103" si="14">SUM(E94:P94)</f>
        <v>100</v>
      </c>
    </row>
    <row r="95" spans="1:19">
      <c r="A95" s="51" t="str">
        <f t="shared" ref="A95:A103" si="15">CONCATENATE($B$92,"|",B95)</f>
        <v>10|3</v>
      </c>
      <c r="B95" s="52" t="s">
        <v>213</v>
      </c>
      <c r="C95" s="47" t="s">
        <v>496</v>
      </c>
      <c r="D95" s="48">
        <v>3</v>
      </c>
      <c r="E95" s="54"/>
      <c r="F95" s="54">
        <v>5</v>
      </c>
      <c r="G95" s="54">
        <v>10</v>
      </c>
      <c r="H95" s="54">
        <v>15</v>
      </c>
      <c r="I95" s="54">
        <v>15</v>
      </c>
      <c r="J95" s="53">
        <v>15</v>
      </c>
      <c r="K95" s="53">
        <v>15</v>
      </c>
      <c r="L95" s="53">
        <v>15</v>
      </c>
      <c r="M95" s="53">
        <v>10</v>
      </c>
      <c r="N95" s="53"/>
      <c r="O95" s="53"/>
      <c r="P95" s="53"/>
      <c r="S95" s="31">
        <f t="shared" si="14"/>
        <v>100</v>
      </c>
    </row>
    <row r="96" spans="1:19">
      <c r="A96" s="51" t="str">
        <f t="shared" si="15"/>
        <v>10|4</v>
      </c>
      <c r="B96" s="52" t="s">
        <v>231</v>
      </c>
      <c r="C96" s="47" t="s">
        <v>491</v>
      </c>
      <c r="D96" s="48">
        <v>4</v>
      </c>
      <c r="E96" s="54"/>
      <c r="F96" s="54"/>
      <c r="G96" s="54">
        <v>5</v>
      </c>
      <c r="H96" s="54">
        <v>5</v>
      </c>
      <c r="I96" s="54">
        <v>15</v>
      </c>
      <c r="J96" s="53">
        <v>20</v>
      </c>
      <c r="K96" s="53">
        <v>20</v>
      </c>
      <c r="L96" s="53">
        <v>15</v>
      </c>
      <c r="M96" s="53">
        <v>10</v>
      </c>
      <c r="N96" s="53">
        <v>10</v>
      </c>
      <c r="O96" s="53"/>
      <c r="P96" s="53"/>
      <c r="S96" s="31">
        <f t="shared" si="14"/>
        <v>100</v>
      </c>
    </row>
    <row r="97" spans="1:19">
      <c r="A97" s="51" t="str">
        <f t="shared" si="15"/>
        <v>10|5</v>
      </c>
      <c r="B97" s="52" t="s">
        <v>188</v>
      </c>
      <c r="C97" s="47" t="s">
        <v>492</v>
      </c>
      <c r="D97" s="48">
        <v>5</v>
      </c>
      <c r="E97" s="54"/>
      <c r="F97" s="54"/>
      <c r="G97" s="54">
        <v>10</v>
      </c>
      <c r="H97" s="54">
        <v>10</v>
      </c>
      <c r="I97" s="54">
        <v>10</v>
      </c>
      <c r="J97" s="53">
        <v>20</v>
      </c>
      <c r="K97" s="53">
        <v>20</v>
      </c>
      <c r="L97" s="53">
        <v>20</v>
      </c>
      <c r="M97" s="53">
        <v>10</v>
      </c>
      <c r="N97" s="53"/>
      <c r="O97" s="53"/>
      <c r="P97" s="53"/>
      <c r="S97" s="31">
        <f t="shared" si="14"/>
        <v>100</v>
      </c>
    </row>
    <row r="98" spans="1:19">
      <c r="A98" s="51" t="str">
        <f t="shared" si="15"/>
        <v>10|6</v>
      </c>
      <c r="B98" s="52" t="s">
        <v>233</v>
      </c>
      <c r="C98" s="47" t="s">
        <v>498</v>
      </c>
      <c r="D98" s="48">
        <v>3</v>
      </c>
      <c r="E98" s="54"/>
      <c r="F98" s="54"/>
      <c r="G98" s="54"/>
      <c r="H98" s="54">
        <v>5</v>
      </c>
      <c r="I98" s="54">
        <v>10</v>
      </c>
      <c r="J98" s="54">
        <v>15</v>
      </c>
      <c r="K98" s="53">
        <v>20</v>
      </c>
      <c r="L98" s="53">
        <v>20</v>
      </c>
      <c r="M98" s="53">
        <v>15</v>
      </c>
      <c r="N98" s="53">
        <v>15</v>
      </c>
      <c r="O98" s="53"/>
      <c r="P98" s="53"/>
      <c r="S98" s="31">
        <f t="shared" si="14"/>
        <v>100</v>
      </c>
    </row>
    <row r="99" spans="1:19">
      <c r="A99" s="51" t="str">
        <f t="shared" si="15"/>
        <v>10|7</v>
      </c>
      <c r="B99" s="52" t="s">
        <v>471</v>
      </c>
      <c r="C99" s="47" t="s">
        <v>499</v>
      </c>
      <c r="D99" s="48">
        <v>5</v>
      </c>
      <c r="E99" s="54"/>
      <c r="F99" s="54"/>
      <c r="G99" s="54"/>
      <c r="H99" s="54">
        <v>15</v>
      </c>
      <c r="I99" s="54">
        <v>15</v>
      </c>
      <c r="J99" s="53">
        <v>15</v>
      </c>
      <c r="K99" s="53">
        <v>20</v>
      </c>
      <c r="L99" s="53">
        <v>15</v>
      </c>
      <c r="M99" s="53">
        <v>10</v>
      </c>
      <c r="N99" s="53">
        <v>10</v>
      </c>
      <c r="O99" s="53"/>
      <c r="P99" s="53"/>
      <c r="S99" s="31">
        <f t="shared" si="14"/>
        <v>100</v>
      </c>
    </row>
    <row r="100" spans="1:19">
      <c r="A100" s="51" t="str">
        <f t="shared" si="15"/>
        <v>10|8</v>
      </c>
      <c r="B100" s="52" t="s">
        <v>338</v>
      </c>
      <c r="C100" s="47" t="s">
        <v>501</v>
      </c>
      <c r="D100" s="48">
        <v>6</v>
      </c>
      <c r="E100" s="54"/>
      <c r="F100" s="54"/>
      <c r="G100" s="54"/>
      <c r="H100" s="54">
        <v>10</v>
      </c>
      <c r="I100" s="54">
        <v>20</v>
      </c>
      <c r="J100" s="53">
        <v>20</v>
      </c>
      <c r="K100" s="53">
        <v>20</v>
      </c>
      <c r="L100" s="53">
        <v>10</v>
      </c>
      <c r="M100" s="53">
        <v>10</v>
      </c>
      <c r="N100" s="53">
        <v>10</v>
      </c>
      <c r="O100" s="53"/>
      <c r="P100" s="53"/>
      <c r="S100" s="31">
        <f t="shared" si="14"/>
        <v>100</v>
      </c>
    </row>
    <row r="101" spans="1:19">
      <c r="A101" s="51" t="str">
        <f t="shared" si="15"/>
        <v>10|9</v>
      </c>
      <c r="B101" s="52" t="s">
        <v>502</v>
      </c>
      <c r="C101" s="47" t="s">
        <v>503</v>
      </c>
      <c r="D101" s="48">
        <v>6</v>
      </c>
      <c r="E101" s="54">
        <v>5</v>
      </c>
      <c r="F101" s="54">
        <v>5</v>
      </c>
      <c r="G101" s="54">
        <v>10</v>
      </c>
      <c r="H101" s="54">
        <v>10</v>
      </c>
      <c r="I101" s="54">
        <v>10</v>
      </c>
      <c r="J101" s="53">
        <v>15</v>
      </c>
      <c r="K101" s="53">
        <v>15</v>
      </c>
      <c r="L101" s="53">
        <v>10</v>
      </c>
      <c r="M101" s="53">
        <v>10</v>
      </c>
      <c r="N101" s="53">
        <v>10</v>
      </c>
      <c r="O101" s="53"/>
      <c r="P101" s="53"/>
      <c r="S101" s="31">
        <f t="shared" si="14"/>
        <v>100</v>
      </c>
    </row>
    <row r="102" spans="1:19">
      <c r="A102" s="51" t="str">
        <f t="shared" si="15"/>
        <v>10|10</v>
      </c>
      <c r="B102" s="52" t="s">
        <v>504</v>
      </c>
      <c r="C102" s="47" t="s">
        <v>493</v>
      </c>
      <c r="D102" s="48"/>
      <c r="E102" s="54">
        <v>10</v>
      </c>
      <c r="F102" s="54">
        <v>15</v>
      </c>
      <c r="G102" s="54">
        <v>15</v>
      </c>
      <c r="H102" s="54">
        <v>15</v>
      </c>
      <c r="I102" s="54">
        <v>15</v>
      </c>
      <c r="J102" s="53">
        <v>15</v>
      </c>
      <c r="K102" s="53">
        <v>10</v>
      </c>
      <c r="L102" s="53">
        <v>5</v>
      </c>
      <c r="M102" s="53"/>
      <c r="N102" s="53"/>
      <c r="O102" s="53"/>
      <c r="P102" s="53"/>
      <c r="S102" s="31">
        <f t="shared" si="14"/>
        <v>100</v>
      </c>
    </row>
    <row r="103" spans="1:19">
      <c r="A103" s="51" t="str">
        <f t="shared" si="15"/>
        <v>10|11</v>
      </c>
      <c r="B103" s="52" t="s">
        <v>758</v>
      </c>
      <c r="C103" s="47" t="s">
        <v>796</v>
      </c>
      <c r="D103" s="48"/>
      <c r="E103" s="54">
        <v>2</v>
      </c>
      <c r="F103" s="54">
        <v>2</v>
      </c>
      <c r="G103" s="54">
        <v>14</v>
      </c>
      <c r="H103" s="54">
        <v>14</v>
      </c>
      <c r="I103" s="54">
        <v>15</v>
      </c>
      <c r="J103" s="53">
        <v>15</v>
      </c>
      <c r="K103" s="53">
        <v>15</v>
      </c>
      <c r="L103" s="53">
        <v>15</v>
      </c>
      <c r="M103" s="53">
        <v>5</v>
      </c>
      <c r="N103" s="53">
        <v>3</v>
      </c>
      <c r="O103" s="53"/>
      <c r="P103" s="53"/>
      <c r="S103" s="31">
        <f t="shared" si="14"/>
        <v>100</v>
      </c>
    </row>
    <row r="104" spans="1:19" ht="5.45" customHeight="1"/>
    <row r="105" spans="1:19" ht="13.5" thickBot="1">
      <c r="A105" s="55" t="s">
        <v>80</v>
      </c>
      <c r="B105" s="56">
        <v>11</v>
      </c>
      <c r="C105" s="57"/>
      <c r="D105" s="58"/>
      <c r="E105" s="44"/>
      <c r="F105" s="44"/>
      <c r="G105" s="44"/>
      <c r="H105" s="44"/>
      <c r="I105" s="44"/>
      <c r="J105" s="44"/>
      <c r="K105" s="44"/>
      <c r="L105" s="44"/>
      <c r="M105" s="44"/>
      <c r="N105" s="44"/>
      <c r="O105" s="44"/>
      <c r="P105" s="44"/>
    </row>
    <row r="106" spans="1:19" ht="13.5" thickTop="1">
      <c r="A106" s="59" t="str">
        <f>CONCATENATE($B$105,"|",B106)</f>
        <v>11|1</v>
      </c>
      <c r="B106" s="46">
        <v>1</v>
      </c>
      <c r="C106" s="47" t="s">
        <v>494</v>
      </c>
      <c r="D106" s="48">
        <v>1</v>
      </c>
      <c r="E106" s="49">
        <v>10</v>
      </c>
      <c r="F106" s="49">
        <v>20</v>
      </c>
      <c r="G106" s="49">
        <v>20</v>
      </c>
      <c r="H106" s="49">
        <v>20</v>
      </c>
      <c r="I106" s="49">
        <v>10</v>
      </c>
      <c r="J106" s="50">
        <v>10</v>
      </c>
      <c r="K106" s="50">
        <v>10</v>
      </c>
      <c r="L106" s="50"/>
      <c r="M106" s="50"/>
      <c r="N106" s="50"/>
      <c r="O106" s="50"/>
      <c r="P106" s="50"/>
      <c r="S106" s="31">
        <f>SUM(E106:P106)</f>
        <v>100</v>
      </c>
    </row>
    <row r="107" spans="1:19">
      <c r="A107" s="51" t="str">
        <f>CONCATENATE($B$105,"|",B107)</f>
        <v>11|2</v>
      </c>
      <c r="B107" s="52" t="s">
        <v>189</v>
      </c>
      <c r="C107" s="47" t="s">
        <v>490</v>
      </c>
      <c r="D107" s="48">
        <v>2</v>
      </c>
      <c r="E107" s="49">
        <v>5</v>
      </c>
      <c r="F107" s="49">
        <v>10</v>
      </c>
      <c r="G107" s="49">
        <v>10</v>
      </c>
      <c r="H107" s="49">
        <v>15</v>
      </c>
      <c r="I107" s="49">
        <v>15</v>
      </c>
      <c r="J107" s="53">
        <v>15</v>
      </c>
      <c r="K107" s="53">
        <v>15</v>
      </c>
      <c r="L107" s="53">
        <v>10</v>
      </c>
      <c r="M107" s="53">
        <v>5</v>
      </c>
      <c r="N107" s="53"/>
      <c r="O107" s="53"/>
      <c r="P107" s="53"/>
      <c r="S107" s="31">
        <f t="shared" ref="S107:S116" si="16">SUM(E107:P107)</f>
        <v>100</v>
      </c>
    </row>
    <row r="108" spans="1:19">
      <c r="A108" s="51" t="str">
        <f t="shared" ref="A108:A116" si="17">CONCATENATE($B$105,"|",B108)</f>
        <v>11|3</v>
      </c>
      <c r="B108" s="52" t="s">
        <v>213</v>
      </c>
      <c r="C108" s="47" t="s">
        <v>496</v>
      </c>
      <c r="D108" s="48">
        <v>3</v>
      </c>
      <c r="E108" s="54"/>
      <c r="F108" s="54">
        <v>5</v>
      </c>
      <c r="G108" s="54">
        <v>10</v>
      </c>
      <c r="H108" s="54">
        <v>10</v>
      </c>
      <c r="I108" s="54">
        <v>15</v>
      </c>
      <c r="J108" s="53">
        <v>15</v>
      </c>
      <c r="K108" s="53">
        <v>15</v>
      </c>
      <c r="L108" s="53">
        <v>10</v>
      </c>
      <c r="M108" s="53">
        <v>10</v>
      </c>
      <c r="N108" s="53">
        <v>10</v>
      </c>
      <c r="O108" s="53"/>
      <c r="P108" s="53"/>
      <c r="S108" s="31">
        <f t="shared" si="16"/>
        <v>100</v>
      </c>
    </row>
    <row r="109" spans="1:19">
      <c r="A109" s="51" t="str">
        <f t="shared" si="17"/>
        <v>11|4</v>
      </c>
      <c r="B109" s="52" t="s">
        <v>231</v>
      </c>
      <c r="C109" s="47" t="s">
        <v>491</v>
      </c>
      <c r="D109" s="48">
        <v>4</v>
      </c>
      <c r="E109" s="54"/>
      <c r="F109" s="54"/>
      <c r="G109" s="54">
        <v>5</v>
      </c>
      <c r="H109" s="54">
        <v>10</v>
      </c>
      <c r="I109" s="54">
        <v>10</v>
      </c>
      <c r="J109" s="53">
        <v>15</v>
      </c>
      <c r="K109" s="53">
        <v>15</v>
      </c>
      <c r="L109" s="53">
        <v>15</v>
      </c>
      <c r="M109" s="53">
        <v>10</v>
      </c>
      <c r="N109" s="53">
        <v>10</v>
      </c>
      <c r="O109" s="53">
        <v>10</v>
      </c>
      <c r="P109" s="53"/>
      <c r="S109" s="31">
        <f t="shared" si="16"/>
        <v>100</v>
      </c>
    </row>
    <row r="110" spans="1:19">
      <c r="A110" s="51" t="str">
        <f t="shared" si="17"/>
        <v>11|5</v>
      </c>
      <c r="B110" s="52" t="s">
        <v>188</v>
      </c>
      <c r="C110" s="47" t="s">
        <v>492</v>
      </c>
      <c r="D110" s="48">
        <v>5</v>
      </c>
      <c r="E110" s="54"/>
      <c r="F110" s="54"/>
      <c r="G110" s="54">
        <v>10</v>
      </c>
      <c r="H110" s="54">
        <v>10</v>
      </c>
      <c r="I110" s="54">
        <v>10</v>
      </c>
      <c r="J110" s="53">
        <v>15</v>
      </c>
      <c r="K110" s="53">
        <v>15</v>
      </c>
      <c r="L110" s="53">
        <v>15</v>
      </c>
      <c r="M110" s="53">
        <v>15</v>
      </c>
      <c r="N110" s="53">
        <v>10</v>
      </c>
      <c r="O110" s="53"/>
      <c r="P110" s="53"/>
      <c r="S110" s="31">
        <f t="shared" si="16"/>
        <v>100</v>
      </c>
    </row>
    <row r="111" spans="1:19">
      <c r="A111" s="51" t="str">
        <f t="shared" si="17"/>
        <v>11|6</v>
      </c>
      <c r="B111" s="52" t="s">
        <v>233</v>
      </c>
      <c r="C111" s="47" t="s">
        <v>498</v>
      </c>
      <c r="D111" s="48">
        <v>3</v>
      </c>
      <c r="E111" s="54"/>
      <c r="F111" s="54"/>
      <c r="G111" s="54"/>
      <c r="H111" s="54">
        <v>5</v>
      </c>
      <c r="I111" s="54">
        <v>10</v>
      </c>
      <c r="J111" s="54">
        <v>15</v>
      </c>
      <c r="K111" s="53">
        <v>15</v>
      </c>
      <c r="L111" s="53">
        <v>15</v>
      </c>
      <c r="M111" s="53">
        <v>15</v>
      </c>
      <c r="N111" s="53">
        <v>15</v>
      </c>
      <c r="O111" s="53">
        <v>10</v>
      </c>
      <c r="P111" s="53"/>
      <c r="S111" s="31">
        <f t="shared" si="16"/>
        <v>100</v>
      </c>
    </row>
    <row r="112" spans="1:19">
      <c r="A112" s="51" t="str">
        <f t="shared" si="17"/>
        <v>11|7</v>
      </c>
      <c r="B112" s="52" t="s">
        <v>471</v>
      </c>
      <c r="C112" s="47" t="s">
        <v>499</v>
      </c>
      <c r="D112" s="48">
        <v>5</v>
      </c>
      <c r="E112" s="54"/>
      <c r="F112" s="54"/>
      <c r="G112" s="54"/>
      <c r="H112" s="54">
        <v>10</v>
      </c>
      <c r="I112" s="54">
        <v>10</v>
      </c>
      <c r="J112" s="53">
        <v>15</v>
      </c>
      <c r="K112" s="53">
        <v>20</v>
      </c>
      <c r="L112" s="53">
        <v>15</v>
      </c>
      <c r="M112" s="53">
        <v>10</v>
      </c>
      <c r="N112" s="53">
        <v>10</v>
      </c>
      <c r="O112" s="53">
        <v>10</v>
      </c>
      <c r="P112" s="53"/>
      <c r="S112" s="31">
        <f t="shared" si="16"/>
        <v>100</v>
      </c>
    </row>
    <row r="113" spans="1:19">
      <c r="A113" s="51" t="str">
        <f t="shared" si="17"/>
        <v>11|8</v>
      </c>
      <c r="B113" s="52" t="s">
        <v>338</v>
      </c>
      <c r="C113" s="47" t="s">
        <v>501</v>
      </c>
      <c r="D113" s="48">
        <v>6</v>
      </c>
      <c r="E113" s="54"/>
      <c r="F113" s="54"/>
      <c r="G113" s="54"/>
      <c r="H113" s="54">
        <v>10</v>
      </c>
      <c r="I113" s="54">
        <v>10</v>
      </c>
      <c r="J113" s="53">
        <v>20</v>
      </c>
      <c r="K113" s="53">
        <v>20</v>
      </c>
      <c r="L113" s="53">
        <v>10</v>
      </c>
      <c r="M113" s="53">
        <v>10</v>
      </c>
      <c r="N113" s="53">
        <v>10</v>
      </c>
      <c r="O113" s="53">
        <v>10</v>
      </c>
      <c r="P113" s="53"/>
      <c r="S113" s="31">
        <f t="shared" si="16"/>
        <v>100</v>
      </c>
    </row>
    <row r="114" spans="1:19">
      <c r="A114" s="51" t="str">
        <f t="shared" si="17"/>
        <v>11|9</v>
      </c>
      <c r="B114" s="52" t="s">
        <v>502</v>
      </c>
      <c r="C114" s="47" t="s">
        <v>503</v>
      </c>
      <c r="D114" s="48">
        <v>6</v>
      </c>
      <c r="E114" s="54">
        <v>5</v>
      </c>
      <c r="F114" s="54">
        <v>5</v>
      </c>
      <c r="G114" s="54">
        <v>10</v>
      </c>
      <c r="H114" s="54">
        <v>10</v>
      </c>
      <c r="I114" s="54">
        <v>10</v>
      </c>
      <c r="J114" s="53">
        <v>10</v>
      </c>
      <c r="K114" s="53">
        <v>10</v>
      </c>
      <c r="L114" s="53">
        <v>10</v>
      </c>
      <c r="M114" s="53">
        <v>10</v>
      </c>
      <c r="N114" s="53">
        <v>10</v>
      </c>
      <c r="O114" s="53">
        <v>10</v>
      </c>
      <c r="P114" s="53"/>
      <c r="S114" s="31">
        <f t="shared" si="16"/>
        <v>100</v>
      </c>
    </row>
    <row r="115" spans="1:19">
      <c r="A115" s="51" t="str">
        <f t="shared" si="17"/>
        <v>11|10</v>
      </c>
      <c r="B115" s="52" t="s">
        <v>504</v>
      </c>
      <c r="C115" s="47" t="s">
        <v>493</v>
      </c>
      <c r="D115" s="48"/>
      <c r="E115" s="54">
        <v>10</v>
      </c>
      <c r="F115" s="54">
        <v>10</v>
      </c>
      <c r="G115" s="54">
        <v>15</v>
      </c>
      <c r="H115" s="54">
        <v>15</v>
      </c>
      <c r="I115" s="54">
        <v>15</v>
      </c>
      <c r="J115" s="53">
        <v>10</v>
      </c>
      <c r="K115" s="53">
        <v>10</v>
      </c>
      <c r="L115" s="53">
        <v>10</v>
      </c>
      <c r="M115" s="53">
        <v>5</v>
      </c>
      <c r="N115" s="53"/>
      <c r="O115" s="53"/>
      <c r="P115" s="53"/>
      <c r="S115" s="31">
        <f t="shared" si="16"/>
        <v>100</v>
      </c>
    </row>
    <row r="116" spans="1:19">
      <c r="A116" s="51" t="str">
        <f t="shared" si="17"/>
        <v>11|11</v>
      </c>
      <c r="B116" s="52" t="s">
        <v>758</v>
      </c>
      <c r="C116" s="47" t="s">
        <v>796</v>
      </c>
      <c r="D116" s="48"/>
      <c r="E116" s="54">
        <v>1</v>
      </c>
      <c r="F116" s="54">
        <v>1</v>
      </c>
      <c r="G116" s="54">
        <v>10</v>
      </c>
      <c r="H116" s="54">
        <v>15</v>
      </c>
      <c r="I116" s="54">
        <v>15</v>
      </c>
      <c r="J116" s="53">
        <v>15</v>
      </c>
      <c r="K116" s="53">
        <v>15</v>
      </c>
      <c r="L116" s="53">
        <v>15</v>
      </c>
      <c r="M116" s="53">
        <v>5</v>
      </c>
      <c r="N116" s="53">
        <v>3</v>
      </c>
      <c r="O116" s="53">
        <v>5</v>
      </c>
      <c r="P116" s="53"/>
      <c r="S116" s="31">
        <f t="shared" si="16"/>
        <v>100</v>
      </c>
    </row>
    <row r="117" spans="1:19" ht="5.45" customHeight="1"/>
    <row r="118" spans="1:19" ht="13.5" thickBot="1">
      <c r="A118" s="55" t="s">
        <v>80</v>
      </c>
      <c r="B118" s="56">
        <v>12</v>
      </c>
      <c r="C118" s="57"/>
      <c r="D118" s="58"/>
      <c r="E118" s="44"/>
      <c r="F118" s="44"/>
      <c r="G118" s="44"/>
      <c r="H118" s="44"/>
      <c r="I118" s="44"/>
      <c r="J118" s="44"/>
      <c r="K118" s="44"/>
      <c r="L118" s="44"/>
      <c r="M118" s="44"/>
      <c r="N118" s="44"/>
      <c r="O118" s="44"/>
      <c r="P118" s="44"/>
    </row>
    <row r="119" spans="1:19" ht="13.5" thickTop="1">
      <c r="A119" s="59" t="str">
        <f>CONCATENATE($B$118,"|",B119)</f>
        <v>12|1</v>
      </c>
      <c r="B119" s="46">
        <v>1</v>
      </c>
      <c r="C119" s="47" t="s">
        <v>494</v>
      </c>
      <c r="D119" s="48">
        <v>1</v>
      </c>
      <c r="E119" s="49">
        <v>10</v>
      </c>
      <c r="F119" s="49">
        <v>20</v>
      </c>
      <c r="G119" s="49">
        <v>20</v>
      </c>
      <c r="H119" s="49">
        <v>20</v>
      </c>
      <c r="I119" s="49">
        <v>10</v>
      </c>
      <c r="J119" s="50">
        <v>10</v>
      </c>
      <c r="K119" s="50">
        <v>10</v>
      </c>
      <c r="L119" s="50"/>
      <c r="M119" s="50"/>
      <c r="N119" s="50"/>
      <c r="O119" s="50"/>
      <c r="P119" s="50"/>
      <c r="S119" s="31">
        <f>SUM(E119:P119)</f>
        <v>100</v>
      </c>
    </row>
    <row r="120" spans="1:19">
      <c r="A120" s="51" t="str">
        <f>CONCATENATE($B$118,"|",B120)</f>
        <v>12|2</v>
      </c>
      <c r="B120" s="52" t="s">
        <v>189</v>
      </c>
      <c r="C120" s="47" t="s">
        <v>490</v>
      </c>
      <c r="D120" s="48">
        <v>2</v>
      </c>
      <c r="E120" s="49">
        <v>5</v>
      </c>
      <c r="F120" s="49">
        <v>10</v>
      </c>
      <c r="G120" s="49">
        <v>10</v>
      </c>
      <c r="H120" s="49">
        <v>15</v>
      </c>
      <c r="I120" s="49">
        <v>15</v>
      </c>
      <c r="J120" s="53">
        <v>15</v>
      </c>
      <c r="K120" s="53">
        <v>10</v>
      </c>
      <c r="L120" s="53">
        <v>10</v>
      </c>
      <c r="M120" s="53">
        <v>10</v>
      </c>
      <c r="N120" s="53"/>
      <c r="O120" s="53"/>
      <c r="P120" s="53"/>
      <c r="S120" s="31">
        <f t="shared" ref="S120:S129" si="18">SUM(E120:P120)</f>
        <v>100</v>
      </c>
    </row>
    <row r="121" spans="1:19">
      <c r="A121" s="51" t="str">
        <f t="shared" ref="A121:A129" si="19">CONCATENATE($B$118,"|",B121)</f>
        <v>12|3</v>
      </c>
      <c r="B121" s="52" t="s">
        <v>213</v>
      </c>
      <c r="C121" s="47" t="s">
        <v>496</v>
      </c>
      <c r="D121" s="48">
        <v>3</v>
      </c>
      <c r="E121" s="54"/>
      <c r="F121" s="54">
        <v>5</v>
      </c>
      <c r="G121" s="54">
        <v>10</v>
      </c>
      <c r="H121" s="54">
        <v>10</v>
      </c>
      <c r="I121" s="54">
        <v>10</v>
      </c>
      <c r="J121" s="53">
        <v>15</v>
      </c>
      <c r="K121" s="53">
        <v>15</v>
      </c>
      <c r="L121" s="53">
        <v>10</v>
      </c>
      <c r="M121" s="53">
        <v>10</v>
      </c>
      <c r="N121" s="53">
        <v>10</v>
      </c>
      <c r="O121" s="53">
        <v>5</v>
      </c>
      <c r="P121" s="53"/>
      <c r="S121" s="31">
        <f t="shared" si="18"/>
        <v>100</v>
      </c>
    </row>
    <row r="122" spans="1:19">
      <c r="A122" s="51" t="str">
        <f t="shared" si="19"/>
        <v>12|4</v>
      </c>
      <c r="B122" s="52" t="s">
        <v>231</v>
      </c>
      <c r="C122" s="47" t="s">
        <v>491</v>
      </c>
      <c r="D122" s="48">
        <v>4</v>
      </c>
      <c r="E122" s="54"/>
      <c r="F122" s="54"/>
      <c r="G122" s="54">
        <v>5</v>
      </c>
      <c r="H122" s="54">
        <v>10</v>
      </c>
      <c r="I122" s="54">
        <v>10</v>
      </c>
      <c r="J122" s="53">
        <v>10</v>
      </c>
      <c r="K122" s="53">
        <v>10</v>
      </c>
      <c r="L122" s="53">
        <v>15</v>
      </c>
      <c r="M122" s="53">
        <v>10</v>
      </c>
      <c r="N122" s="53">
        <v>15</v>
      </c>
      <c r="O122" s="53">
        <v>10</v>
      </c>
      <c r="P122" s="53">
        <v>5</v>
      </c>
      <c r="S122" s="31">
        <f t="shared" si="18"/>
        <v>100</v>
      </c>
    </row>
    <row r="123" spans="1:19">
      <c r="A123" s="51" t="str">
        <f t="shared" si="19"/>
        <v>12|5</v>
      </c>
      <c r="B123" s="52" t="s">
        <v>188</v>
      </c>
      <c r="C123" s="47" t="s">
        <v>492</v>
      </c>
      <c r="D123" s="48">
        <v>5</v>
      </c>
      <c r="E123" s="54"/>
      <c r="F123" s="54"/>
      <c r="G123" s="54">
        <v>10</v>
      </c>
      <c r="H123" s="54">
        <v>10</v>
      </c>
      <c r="I123" s="54">
        <v>10</v>
      </c>
      <c r="J123" s="53">
        <v>10</v>
      </c>
      <c r="K123" s="53">
        <v>10</v>
      </c>
      <c r="L123" s="53">
        <v>15</v>
      </c>
      <c r="M123" s="53">
        <v>15</v>
      </c>
      <c r="N123" s="53">
        <v>10</v>
      </c>
      <c r="O123" s="53">
        <v>10</v>
      </c>
      <c r="P123" s="53"/>
      <c r="S123" s="31">
        <f t="shared" si="18"/>
        <v>100</v>
      </c>
    </row>
    <row r="124" spans="1:19">
      <c r="A124" s="51" t="str">
        <f t="shared" si="19"/>
        <v>12|6</v>
      </c>
      <c r="B124" s="52" t="s">
        <v>233</v>
      </c>
      <c r="C124" s="47" t="s">
        <v>498</v>
      </c>
      <c r="D124" s="48">
        <v>3</v>
      </c>
      <c r="E124" s="54"/>
      <c r="F124" s="54"/>
      <c r="G124" s="54"/>
      <c r="H124" s="54">
        <v>5</v>
      </c>
      <c r="I124" s="54">
        <v>10</v>
      </c>
      <c r="J124" s="54">
        <v>10</v>
      </c>
      <c r="K124" s="53">
        <v>10</v>
      </c>
      <c r="L124" s="53">
        <v>15</v>
      </c>
      <c r="M124" s="53">
        <v>15</v>
      </c>
      <c r="N124" s="53">
        <v>15</v>
      </c>
      <c r="O124" s="53">
        <v>10</v>
      </c>
      <c r="P124" s="53">
        <v>10</v>
      </c>
      <c r="S124" s="31">
        <f t="shared" si="18"/>
        <v>100</v>
      </c>
    </row>
    <row r="125" spans="1:19">
      <c r="A125" s="51" t="str">
        <f t="shared" si="19"/>
        <v>12|7</v>
      </c>
      <c r="B125" s="52" t="s">
        <v>471</v>
      </c>
      <c r="C125" s="47" t="s">
        <v>499</v>
      </c>
      <c r="D125" s="48">
        <v>5</v>
      </c>
      <c r="E125" s="54"/>
      <c r="F125" s="54"/>
      <c r="G125" s="54"/>
      <c r="H125" s="54">
        <v>5</v>
      </c>
      <c r="I125" s="54">
        <v>10</v>
      </c>
      <c r="J125" s="53">
        <v>10</v>
      </c>
      <c r="K125" s="53">
        <v>15</v>
      </c>
      <c r="L125" s="53">
        <v>15</v>
      </c>
      <c r="M125" s="53">
        <v>15</v>
      </c>
      <c r="N125" s="53">
        <v>10</v>
      </c>
      <c r="O125" s="53">
        <v>10</v>
      </c>
      <c r="P125" s="53">
        <v>10</v>
      </c>
      <c r="S125" s="31">
        <f t="shared" si="18"/>
        <v>100</v>
      </c>
    </row>
    <row r="126" spans="1:19">
      <c r="A126" s="51" t="str">
        <f t="shared" si="19"/>
        <v>12|8</v>
      </c>
      <c r="B126" s="52" t="s">
        <v>338</v>
      </c>
      <c r="C126" s="47" t="s">
        <v>501</v>
      </c>
      <c r="D126" s="48">
        <v>6</v>
      </c>
      <c r="E126" s="54"/>
      <c r="F126" s="54"/>
      <c r="G126" s="54"/>
      <c r="H126" s="54">
        <v>10</v>
      </c>
      <c r="I126" s="54">
        <v>10</v>
      </c>
      <c r="J126" s="53">
        <v>10</v>
      </c>
      <c r="K126" s="53">
        <v>20</v>
      </c>
      <c r="L126" s="53">
        <v>10</v>
      </c>
      <c r="M126" s="53">
        <v>10</v>
      </c>
      <c r="N126" s="53">
        <v>10</v>
      </c>
      <c r="O126" s="53">
        <v>10</v>
      </c>
      <c r="P126" s="53">
        <v>10</v>
      </c>
      <c r="S126" s="31">
        <f t="shared" si="18"/>
        <v>100</v>
      </c>
    </row>
    <row r="127" spans="1:19">
      <c r="A127" s="51" t="str">
        <f t="shared" si="19"/>
        <v>12|9</v>
      </c>
      <c r="B127" s="52" t="s">
        <v>502</v>
      </c>
      <c r="C127" s="47" t="s">
        <v>503</v>
      </c>
      <c r="D127" s="48">
        <v>6</v>
      </c>
      <c r="E127" s="54">
        <v>5</v>
      </c>
      <c r="F127" s="54">
        <v>5</v>
      </c>
      <c r="G127" s="54">
        <v>5</v>
      </c>
      <c r="H127" s="54">
        <v>5</v>
      </c>
      <c r="I127" s="54">
        <v>10</v>
      </c>
      <c r="J127" s="53">
        <v>10</v>
      </c>
      <c r="K127" s="53">
        <v>10</v>
      </c>
      <c r="L127" s="53">
        <v>10</v>
      </c>
      <c r="M127" s="53">
        <v>10</v>
      </c>
      <c r="N127" s="53">
        <v>10</v>
      </c>
      <c r="O127" s="53">
        <v>10</v>
      </c>
      <c r="P127" s="53">
        <v>10</v>
      </c>
      <c r="S127" s="31">
        <f t="shared" si="18"/>
        <v>100</v>
      </c>
    </row>
    <row r="128" spans="1:19">
      <c r="A128" s="51" t="str">
        <f t="shared" si="19"/>
        <v>12|10</v>
      </c>
      <c r="B128" s="52" t="s">
        <v>504</v>
      </c>
      <c r="C128" s="47" t="s">
        <v>493</v>
      </c>
      <c r="D128" s="48"/>
      <c r="E128" s="54">
        <v>10</v>
      </c>
      <c r="F128" s="54">
        <v>15</v>
      </c>
      <c r="G128" s="54">
        <v>10</v>
      </c>
      <c r="H128" s="54">
        <v>10</v>
      </c>
      <c r="I128" s="54">
        <v>10</v>
      </c>
      <c r="J128" s="53">
        <v>10</v>
      </c>
      <c r="K128" s="53">
        <v>10</v>
      </c>
      <c r="L128" s="53">
        <v>10</v>
      </c>
      <c r="M128" s="53">
        <v>10</v>
      </c>
      <c r="N128" s="53">
        <v>5</v>
      </c>
      <c r="O128" s="53"/>
      <c r="P128" s="53"/>
      <c r="S128" s="31">
        <f t="shared" si="18"/>
        <v>100</v>
      </c>
    </row>
    <row r="129" spans="1:19">
      <c r="A129" s="51" t="str">
        <f t="shared" si="19"/>
        <v>12|11</v>
      </c>
      <c r="B129" s="52" t="s">
        <v>758</v>
      </c>
      <c r="C129" s="47" t="s">
        <v>796</v>
      </c>
      <c r="D129" s="48"/>
      <c r="E129" s="54">
        <v>1</v>
      </c>
      <c r="F129" s="54">
        <v>1</v>
      </c>
      <c r="G129" s="54">
        <v>10</v>
      </c>
      <c r="H129" s="54">
        <v>10</v>
      </c>
      <c r="I129" s="54">
        <v>15</v>
      </c>
      <c r="J129" s="53">
        <v>15</v>
      </c>
      <c r="K129" s="53">
        <v>15</v>
      </c>
      <c r="L129" s="53">
        <v>15</v>
      </c>
      <c r="M129" s="53">
        <v>5</v>
      </c>
      <c r="N129" s="53">
        <v>3</v>
      </c>
      <c r="O129" s="53">
        <v>5</v>
      </c>
      <c r="P129" s="53">
        <v>5</v>
      </c>
      <c r="S129" s="31">
        <f t="shared" si="18"/>
        <v>100</v>
      </c>
    </row>
    <row r="131" spans="1:19">
      <c r="S131" s="31">
        <f>SUM(S2:S129)</f>
        <v>11000</v>
      </c>
    </row>
  </sheetData>
  <sheetProtection sheet="1" objects="1" scenarios="1"/>
  <printOptions horizontalCentered="1" verticalCentered="1"/>
  <pageMargins left="0.78740157480314965" right="0.78740157480314965" top="0.98425196850393704" bottom="0.59055118110236227" header="0.51181102362204722" footer="0.51181102362204722"/>
  <pageSetup paperSize="8" scale="94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55"/>
  <sheetViews>
    <sheetView showZeros="0" topLeftCell="B1" workbookViewId="0">
      <selection activeCell="C4" sqref="C4"/>
    </sheetView>
  </sheetViews>
  <sheetFormatPr defaultColWidth="10.6640625" defaultRowHeight="12.75"/>
  <cols>
    <col min="1" max="1" width="5" style="31" hidden="1" customWidth="1"/>
    <col min="2" max="2" width="13.1640625" style="31" customWidth="1"/>
    <col min="3" max="3" width="26.1640625" style="31" customWidth="1"/>
    <col min="4" max="4" width="17.6640625" style="31" customWidth="1"/>
    <col min="5" max="5" width="3.83203125" style="31" customWidth="1"/>
    <col min="6" max="8" width="12.5" style="31" customWidth="1"/>
    <col min="9" max="9" width="13" style="31" customWidth="1"/>
    <col min="10" max="12" width="12.5" style="31" customWidth="1"/>
    <col min="13" max="13" width="13.6640625" style="31" customWidth="1"/>
    <col min="14" max="15" width="12.5" style="31" customWidth="1"/>
    <col min="16" max="17" width="13.83203125" style="31" customWidth="1"/>
    <col min="18" max="18" width="8.33203125" style="31" bestFit="1" customWidth="1"/>
    <col min="19" max="19" width="14.83203125" style="31" bestFit="1" customWidth="1"/>
    <col min="20" max="20" width="10.33203125" style="31" bestFit="1" customWidth="1"/>
    <col min="21" max="21" width="10.6640625" style="31" customWidth="1"/>
    <col min="22" max="259" width="10.6640625" style="31"/>
    <col min="260" max="260" width="13.1640625" style="31" customWidth="1"/>
    <col min="261" max="261" width="79" style="31" customWidth="1"/>
    <col min="262" max="262" width="3.83203125" style="31" customWidth="1"/>
    <col min="263" max="275" width="12.5" style="31" customWidth="1"/>
    <col min="276" max="276" width="8.5" style="31" customWidth="1"/>
    <col min="277" max="515" width="10.6640625" style="31"/>
    <col min="516" max="516" width="13.1640625" style="31" customWidth="1"/>
    <col min="517" max="517" width="79" style="31" customWidth="1"/>
    <col min="518" max="518" width="3.83203125" style="31" customWidth="1"/>
    <col min="519" max="531" width="12.5" style="31" customWidth="1"/>
    <col min="532" max="532" width="8.5" style="31" customWidth="1"/>
    <col min="533" max="771" width="10.6640625" style="31"/>
    <col min="772" max="772" width="13.1640625" style="31" customWidth="1"/>
    <col min="773" max="773" width="79" style="31" customWidth="1"/>
    <col min="774" max="774" width="3.83203125" style="31" customWidth="1"/>
    <col min="775" max="787" width="12.5" style="31" customWidth="1"/>
    <col min="788" max="788" width="8.5" style="31" customWidth="1"/>
    <col min="789" max="1027" width="10.6640625" style="31"/>
    <col min="1028" max="1028" width="13.1640625" style="31" customWidth="1"/>
    <col min="1029" max="1029" width="79" style="31" customWidth="1"/>
    <col min="1030" max="1030" width="3.83203125" style="31" customWidth="1"/>
    <col min="1031" max="1043" width="12.5" style="31" customWidth="1"/>
    <col min="1044" max="1044" width="8.5" style="31" customWidth="1"/>
    <col min="1045" max="1283" width="10.6640625" style="31"/>
    <col min="1284" max="1284" width="13.1640625" style="31" customWidth="1"/>
    <col min="1285" max="1285" width="79" style="31" customWidth="1"/>
    <col min="1286" max="1286" width="3.83203125" style="31" customWidth="1"/>
    <col min="1287" max="1299" width="12.5" style="31" customWidth="1"/>
    <col min="1300" max="1300" width="8.5" style="31" customWidth="1"/>
    <col min="1301" max="1539" width="10.6640625" style="31"/>
    <col min="1540" max="1540" width="13.1640625" style="31" customWidth="1"/>
    <col min="1541" max="1541" width="79" style="31" customWidth="1"/>
    <col min="1542" max="1542" width="3.83203125" style="31" customWidth="1"/>
    <col min="1543" max="1555" width="12.5" style="31" customWidth="1"/>
    <col min="1556" max="1556" width="8.5" style="31" customWidth="1"/>
    <col min="1557" max="1795" width="10.6640625" style="31"/>
    <col min="1796" max="1796" width="13.1640625" style="31" customWidth="1"/>
    <col min="1797" max="1797" width="79" style="31" customWidth="1"/>
    <col min="1798" max="1798" width="3.83203125" style="31" customWidth="1"/>
    <col min="1799" max="1811" width="12.5" style="31" customWidth="1"/>
    <col min="1812" max="1812" width="8.5" style="31" customWidth="1"/>
    <col min="1813" max="2051" width="10.6640625" style="31"/>
    <col min="2052" max="2052" width="13.1640625" style="31" customWidth="1"/>
    <col min="2053" max="2053" width="79" style="31" customWidth="1"/>
    <col min="2054" max="2054" width="3.83203125" style="31" customWidth="1"/>
    <col min="2055" max="2067" width="12.5" style="31" customWidth="1"/>
    <col min="2068" max="2068" width="8.5" style="31" customWidth="1"/>
    <col min="2069" max="2307" width="10.6640625" style="31"/>
    <col min="2308" max="2308" width="13.1640625" style="31" customWidth="1"/>
    <col min="2309" max="2309" width="79" style="31" customWidth="1"/>
    <col min="2310" max="2310" width="3.83203125" style="31" customWidth="1"/>
    <col min="2311" max="2323" width="12.5" style="31" customWidth="1"/>
    <col min="2324" max="2324" width="8.5" style="31" customWidth="1"/>
    <col min="2325" max="2563" width="10.6640625" style="31"/>
    <col min="2564" max="2564" width="13.1640625" style="31" customWidth="1"/>
    <col min="2565" max="2565" width="79" style="31" customWidth="1"/>
    <col min="2566" max="2566" width="3.83203125" style="31" customWidth="1"/>
    <col min="2567" max="2579" width="12.5" style="31" customWidth="1"/>
    <col min="2580" max="2580" width="8.5" style="31" customWidth="1"/>
    <col min="2581" max="2819" width="10.6640625" style="31"/>
    <col min="2820" max="2820" width="13.1640625" style="31" customWidth="1"/>
    <col min="2821" max="2821" width="79" style="31" customWidth="1"/>
    <col min="2822" max="2822" width="3.83203125" style="31" customWidth="1"/>
    <col min="2823" max="2835" width="12.5" style="31" customWidth="1"/>
    <col min="2836" max="2836" width="8.5" style="31" customWidth="1"/>
    <col min="2837" max="3075" width="10.6640625" style="31"/>
    <col min="3076" max="3076" width="13.1640625" style="31" customWidth="1"/>
    <col min="3077" max="3077" width="79" style="31" customWidth="1"/>
    <col min="3078" max="3078" width="3.83203125" style="31" customWidth="1"/>
    <col min="3079" max="3091" width="12.5" style="31" customWidth="1"/>
    <col min="3092" max="3092" width="8.5" style="31" customWidth="1"/>
    <col min="3093" max="3331" width="10.6640625" style="31"/>
    <col min="3332" max="3332" width="13.1640625" style="31" customWidth="1"/>
    <col min="3333" max="3333" width="79" style="31" customWidth="1"/>
    <col min="3334" max="3334" width="3.83203125" style="31" customWidth="1"/>
    <col min="3335" max="3347" width="12.5" style="31" customWidth="1"/>
    <col min="3348" max="3348" width="8.5" style="31" customWidth="1"/>
    <col min="3349" max="3587" width="10.6640625" style="31"/>
    <col min="3588" max="3588" width="13.1640625" style="31" customWidth="1"/>
    <col min="3589" max="3589" width="79" style="31" customWidth="1"/>
    <col min="3590" max="3590" width="3.83203125" style="31" customWidth="1"/>
    <col min="3591" max="3603" width="12.5" style="31" customWidth="1"/>
    <col min="3604" max="3604" width="8.5" style="31" customWidth="1"/>
    <col min="3605" max="3843" width="10.6640625" style="31"/>
    <col min="3844" max="3844" width="13.1640625" style="31" customWidth="1"/>
    <col min="3845" max="3845" width="79" style="31" customWidth="1"/>
    <col min="3846" max="3846" width="3.83203125" style="31" customWidth="1"/>
    <col min="3847" max="3859" width="12.5" style="31" customWidth="1"/>
    <col min="3860" max="3860" width="8.5" style="31" customWidth="1"/>
    <col min="3861" max="4099" width="10.6640625" style="31"/>
    <col min="4100" max="4100" width="13.1640625" style="31" customWidth="1"/>
    <col min="4101" max="4101" width="79" style="31" customWidth="1"/>
    <col min="4102" max="4102" width="3.83203125" style="31" customWidth="1"/>
    <col min="4103" max="4115" width="12.5" style="31" customWidth="1"/>
    <col min="4116" max="4116" width="8.5" style="31" customWidth="1"/>
    <col min="4117" max="4355" width="10.6640625" style="31"/>
    <col min="4356" max="4356" width="13.1640625" style="31" customWidth="1"/>
    <col min="4357" max="4357" width="79" style="31" customWidth="1"/>
    <col min="4358" max="4358" width="3.83203125" style="31" customWidth="1"/>
    <col min="4359" max="4371" width="12.5" style="31" customWidth="1"/>
    <col min="4372" max="4372" width="8.5" style="31" customWidth="1"/>
    <col min="4373" max="4611" width="10.6640625" style="31"/>
    <col min="4612" max="4612" width="13.1640625" style="31" customWidth="1"/>
    <col min="4613" max="4613" width="79" style="31" customWidth="1"/>
    <col min="4614" max="4614" width="3.83203125" style="31" customWidth="1"/>
    <col min="4615" max="4627" width="12.5" style="31" customWidth="1"/>
    <col min="4628" max="4628" width="8.5" style="31" customWidth="1"/>
    <col min="4629" max="4867" width="10.6640625" style="31"/>
    <col min="4868" max="4868" width="13.1640625" style="31" customWidth="1"/>
    <col min="4869" max="4869" width="79" style="31" customWidth="1"/>
    <col min="4870" max="4870" width="3.83203125" style="31" customWidth="1"/>
    <col min="4871" max="4883" width="12.5" style="31" customWidth="1"/>
    <col min="4884" max="4884" width="8.5" style="31" customWidth="1"/>
    <col min="4885" max="5123" width="10.6640625" style="31"/>
    <col min="5124" max="5124" width="13.1640625" style="31" customWidth="1"/>
    <col min="5125" max="5125" width="79" style="31" customWidth="1"/>
    <col min="5126" max="5126" width="3.83203125" style="31" customWidth="1"/>
    <col min="5127" max="5139" width="12.5" style="31" customWidth="1"/>
    <col min="5140" max="5140" width="8.5" style="31" customWidth="1"/>
    <col min="5141" max="5379" width="10.6640625" style="31"/>
    <col min="5380" max="5380" width="13.1640625" style="31" customWidth="1"/>
    <col min="5381" max="5381" width="79" style="31" customWidth="1"/>
    <col min="5382" max="5382" width="3.83203125" style="31" customWidth="1"/>
    <col min="5383" max="5395" width="12.5" style="31" customWidth="1"/>
    <col min="5396" max="5396" width="8.5" style="31" customWidth="1"/>
    <col min="5397" max="5635" width="10.6640625" style="31"/>
    <col min="5636" max="5636" width="13.1640625" style="31" customWidth="1"/>
    <col min="5637" max="5637" width="79" style="31" customWidth="1"/>
    <col min="5638" max="5638" width="3.83203125" style="31" customWidth="1"/>
    <col min="5639" max="5651" width="12.5" style="31" customWidth="1"/>
    <col min="5652" max="5652" width="8.5" style="31" customWidth="1"/>
    <col min="5653" max="5891" width="10.6640625" style="31"/>
    <col min="5892" max="5892" width="13.1640625" style="31" customWidth="1"/>
    <col min="5893" max="5893" width="79" style="31" customWidth="1"/>
    <col min="5894" max="5894" width="3.83203125" style="31" customWidth="1"/>
    <col min="5895" max="5907" width="12.5" style="31" customWidth="1"/>
    <col min="5908" max="5908" width="8.5" style="31" customWidth="1"/>
    <col min="5909" max="6147" width="10.6640625" style="31"/>
    <col min="6148" max="6148" width="13.1640625" style="31" customWidth="1"/>
    <col min="6149" max="6149" width="79" style="31" customWidth="1"/>
    <col min="6150" max="6150" width="3.83203125" style="31" customWidth="1"/>
    <col min="6151" max="6163" width="12.5" style="31" customWidth="1"/>
    <col min="6164" max="6164" width="8.5" style="31" customWidth="1"/>
    <col min="6165" max="6403" width="10.6640625" style="31"/>
    <col min="6404" max="6404" width="13.1640625" style="31" customWidth="1"/>
    <col min="6405" max="6405" width="79" style="31" customWidth="1"/>
    <col min="6406" max="6406" width="3.83203125" style="31" customWidth="1"/>
    <col min="6407" max="6419" width="12.5" style="31" customWidth="1"/>
    <col min="6420" max="6420" width="8.5" style="31" customWidth="1"/>
    <col min="6421" max="6659" width="10.6640625" style="31"/>
    <col min="6660" max="6660" width="13.1640625" style="31" customWidth="1"/>
    <col min="6661" max="6661" width="79" style="31" customWidth="1"/>
    <col min="6662" max="6662" width="3.83203125" style="31" customWidth="1"/>
    <col min="6663" max="6675" width="12.5" style="31" customWidth="1"/>
    <col min="6676" max="6676" width="8.5" style="31" customWidth="1"/>
    <col min="6677" max="6915" width="10.6640625" style="31"/>
    <col min="6916" max="6916" width="13.1640625" style="31" customWidth="1"/>
    <col min="6917" max="6917" width="79" style="31" customWidth="1"/>
    <col min="6918" max="6918" width="3.83203125" style="31" customWidth="1"/>
    <col min="6919" max="6931" width="12.5" style="31" customWidth="1"/>
    <col min="6932" max="6932" width="8.5" style="31" customWidth="1"/>
    <col min="6933" max="7171" width="10.6640625" style="31"/>
    <col min="7172" max="7172" width="13.1640625" style="31" customWidth="1"/>
    <col min="7173" max="7173" width="79" style="31" customWidth="1"/>
    <col min="7174" max="7174" width="3.83203125" style="31" customWidth="1"/>
    <col min="7175" max="7187" width="12.5" style="31" customWidth="1"/>
    <col min="7188" max="7188" width="8.5" style="31" customWidth="1"/>
    <col min="7189" max="7427" width="10.6640625" style="31"/>
    <col min="7428" max="7428" width="13.1640625" style="31" customWidth="1"/>
    <col min="7429" max="7429" width="79" style="31" customWidth="1"/>
    <col min="7430" max="7430" width="3.83203125" style="31" customWidth="1"/>
    <col min="7431" max="7443" width="12.5" style="31" customWidth="1"/>
    <col min="7444" max="7444" width="8.5" style="31" customWidth="1"/>
    <col min="7445" max="7683" width="10.6640625" style="31"/>
    <col min="7684" max="7684" width="13.1640625" style="31" customWidth="1"/>
    <col min="7685" max="7685" width="79" style="31" customWidth="1"/>
    <col min="7686" max="7686" width="3.83203125" style="31" customWidth="1"/>
    <col min="7687" max="7699" width="12.5" style="31" customWidth="1"/>
    <col min="7700" max="7700" width="8.5" style="31" customWidth="1"/>
    <col min="7701" max="7939" width="10.6640625" style="31"/>
    <col min="7940" max="7940" width="13.1640625" style="31" customWidth="1"/>
    <col min="7941" max="7941" width="79" style="31" customWidth="1"/>
    <col min="7942" max="7942" width="3.83203125" style="31" customWidth="1"/>
    <col min="7943" max="7955" width="12.5" style="31" customWidth="1"/>
    <col min="7956" max="7956" width="8.5" style="31" customWidth="1"/>
    <col min="7957" max="8195" width="10.6640625" style="31"/>
    <col min="8196" max="8196" width="13.1640625" style="31" customWidth="1"/>
    <col min="8197" max="8197" width="79" style="31" customWidth="1"/>
    <col min="8198" max="8198" width="3.83203125" style="31" customWidth="1"/>
    <col min="8199" max="8211" width="12.5" style="31" customWidth="1"/>
    <col min="8212" max="8212" width="8.5" style="31" customWidth="1"/>
    <col min="8213" max="8451" width="10.6640625" style="31"/>
    <col min="8452" max="8452" width="13.1640625" style="31" customWidth="1"/>
    <col min="8453" max="8453" width="79" style="31" customWidth="1"/>
    <col min="8454" max="8454" width="3.83203125" style="31" customWidth="1"/>
    <col min="8455" max="8467" width="12.5" style="31" customWidth="1"/>
    <col min="8468" max="8468" width="8.5" style="31" customWidth="1"/>
    <col min="8469" max="8707" width="10.6640625" style="31"/>
    <col min="8708" max="8708" width="13.1640625" style="31" customWidth="1"/>
    <col min="8709" max="8709" width="79" style="31" customWidth="1"/>
    <col min="8710" max="8710" width="3.83203125" style="31" customWidth="1"/>
    <col min="8711" max="8723" width="12.5" style="31" customWidth="1"/>
    <col min="8724" max="8724" width="8.5" style="31" customWidth="1"/>
    <col min="8725" max="8963" width="10.6640625" style="31"/>
    <col min="8964" max="8964" width="13.1640625" style="31" customWidth="1"/>
    <col min="8965" max="8965" width="79" style="31" customWidth="1"/>
    <col min="8966" max="8966" width="3.83203125" style="31" customWidth="1"/>
    <col min="8967" max="8979" width="12.5" style="31" customWidth="1"/>
    <col min="8980" max="8980" width="8.5" style="31" customWidth="1"/>
    <col min="8981" max="9219" width="10.6640625" style="31"/>
    <col min="9220" max="9220" width="13.1640625" style="31" customWidth="1"/>
    <col min="9221" max="9221" width="79" style="31" customWidth="1"/>
    <col min="9222" max="9222" width="3.83203125" style="31" customWidth="1"/>
    <col min="9223" max="9235" width="12.5" style="31" customWidth="1"/>
    <col min="9236" max="9236" width="8.5" style="31" customWidth="1"/>
    <col min="9237" max="9475" width="10.6640625" style="31"/>
    <col min="9476" max="9476" width="13.1640625" style="31" customWidth="1"/>
    <col min="9477" max="9477" width="79" style="31" customWidth="1"/>
    <col min="9478" max="9478" width="3.83203125" style="31" customWidth="1"/>
    <col min="9479" max="9491" width="12.5" style="31" customWidth="1"/>
    <col min="9492" max="9492" width="8.5" style="31" customWidth="1"/>
    <col min="9493" max="9731" width="10.6640625" style="31"/>
    <col min="9732" max="9732" width="13.1640625" style="31" customWidth="1"/>
    <col min="9733" max="9733" width="79" style="31" customWidth="1"/>
    <col min="9734" max="9734" width="3.83203125" style="31" customWidth="1"/>
    <col min="9735" max="9747" width="12.5" style="31" customWidth="1"/>
    <col min="9748" max="9748" width="8.5" style="31" customWidth="1"/>
    <col min="9749" max="9987" width="10.6640625" style="31"/>
    <col min="9988" max="9988" width="13.1640625" style="31" customWidth="1"/>
    <col min="9989" max="9989" width="79" style="31" customWidth="1"/>
    <col min="9990" max="9990" width="3.83203125" style="31" customWidth="1"/>
    <col min="9991" max="10003" width="12.5" style="31" customWidth="1"/>
    <col min="10004" max="10004" width="8.5" style="31" customWidth="1"/>
    <col min="10005" max="10243" width="10.6640625" style="31"/>
    <col min="10244" max="10244" width="13.1640625" style="31" customWidth="1"/>
    <col min="10245" max="10245" width="79" style="31" customWidth="1"/>
    <col min="10246" max="10246" width="3.83203125" style="31" customWidth="1"/>
    <col min="10247" max="10259" width="12.5" style="31" customWidth="1"/>
    <col min="10260" max="10260" width="8.5" style="31" customWidth="1"/>
    <col min="10261" max="10499" width="10.6640625" style="31"/>
    <col min="10500" max="10500" width="13.1640625" style="31" customWidth="1"/>
    <col min="10501" max="10501" width="79" style="31" customWidth="1"/>
    <col min="10502" max="10502" width="3.83203125" style="31" customWidth="1"/>
    <col min="10503" max="10515" width="12.5" style="31" customWidth="1"/>
    <col min="10516" max="10516" width="8.5" style="31" customWidth="1"/>
    <col min="10517" max="10755" width="10.6640625" style="31"/>
    <col min="10756" max="10756" width="13.1640625" style="31" customWidth="1"/>
    <col min="10757" max="10757" width="79" style="31" customWidth="1"/>
    <col min="10758" max="10758" width="3.83203125" style="31" customWidth="1"/>
    <col min="10759" max="10771" width="12.5" style="31" customWidth="1"/>
    <col min="10772" max="10772" width="8.5" style="31" customWidth="1"/>
    <col min="10773" max="11011" width="10.6640625" style="31"/>
    <col min="11012" max="11012" width="13.1640625" style="31" customWidth="1"/>
    <col min="11013" max="11013" width="79" style="31" customWidth="1"/>
    <col min="11014" max="11014" width="3.83203125" style="31" customWidth="1"/>
    <col min="11015" max="11027" width="12.5" style="31" customWidth="1"/>
    <col min="11028" max="11028" width="8.5" style="31" customWidth="1"/>
    <col min="11029" max="11267" width="10.6640625" style="31"/>
    <col min="11268" max="11268" width="13.1640625" style="31" customWidth="1"/>
    <col min="11269" max="11269" width="79" style="31" customWidth="1"/>
    <col min="11270" max="11270" width="3.83203125" style="31" customWidth="1"/>
    <col min="11271" max="11283" width="12.5" style="31" customWidth="1"/>
    <col min="11284" max="11284" width="8.5" style="31" customWidth="1"/>
    <col min="11285" max="11523" width="10.6640625" style="31"/>
    <col min="11524" max="11524" width="13.1640625" style="31" customWidth="1"/>
    <col min="11525" max="11525" width="79" style="31" customWidth="1"/>
    <col min="11526" max="11526" width="3.83203125" style="31" customWidth="1"/>
    <col min="11527" max="11539" width="12.5" style="31" customWidth="1"/>
    <col min="11540" max="11540" width="8.5" style="31" customWidth="1"/>
    <col min="11541" max="11779" width="10.6640625" style="31"/>
    <col min="11780" max="11780" width="13.1640625" style="31" customWidth="1"/>
    <col min="11781" max="11781" width="79" style="31" customWidth="1"/>
    <col min="11782" max="11782" width="3.83203125" style="31" customWidth="1"/>
    <col min="11783" max="11795" width="12.5" style="31" customWidth="1"/>
    <col min="11796" max="11796" width="8.5" style="31" customWidth="1"/>
    <col min="11797" max="12035" width="10.6640625" style="31"/>
    <col min="12036" max="12036" width="13.1640625" style="31" customWidth="1"/>
    <col min="12037" max="12037" width="79" style="31" customWidth="1"/>
    <col min="12038" max="12038" width="3.83203125" style="31" customWidth="1"/>
    <col min="12039" max="12051" width="12.5" style="31" customWidth="1"/>
    <col min="12052" max="12052" width="8.5" style="31" customWidth="1"/>
    <col min="12053" max="12291" width="10.6640625" style="31"/>
    <col min="12292" max="12292" width="13.1640625" style="31" customWidth="1"/>
    <col min="12293" max="12293" width="79" style="31" customWidth="1"/>
    <col min="12294" max="12294" width="3.83203125" style="31" customWidth="1"/>
    <col min="12295" max="12307" width="12.5" style="31" customWidth="1"/>
    <col min="12308" max="12308" width="8.5" style="31" customWidth="1"/>
    <col min="12309" max="12547" width="10.6640625" style="31"/>
    <col min="12548" max="12548" width="13.1640625" style="31" customWidth="1"/>
    <col min="12549" max="12549" width="79" style="31" customWidth="1"/>
    <col min="12550" max="12550" width="3.83203125" style="31" customWidth="1"/>
    <col min="12551" max="12563" width="12.5" style="31" customWidth="1"/>
    <col min="12564" max="12564" width="8.5" style="31" customWidth="1"/>
    <col min="12565" max="12803" width="10.6640625" style="31"/>
    <col min="12804" max="12804" width="13.1640625" style="31" customWidth="1"/>
    <col min="12805" max="12805" width="79" style="31" customWidth="1"/>
    <col min="12806" max="12806" width="3.83203125" style="31" customWidth="1"/>
    <col min="12807" max="12819" width="12.5" style="31" customWidth="1"/>
    <col min="12820" max="12820" width="8.5" style="31" customWidth="1"/>
    <col min="12821" max="13059" width="10.6640625" style="31"/>
    <col min="13060" max="13060" width="13.1640625" style="31" customWidth="1"/>
    <col min="13061" max="13061" width="79" style="31" customWidth="1"/>
    <col min="13062" max="13062" width="3.83203125" style="31" customWidth="1"/>
    <col min="13063" max="13075" width="12.5" style="31" customWidth="1"/>
    <col min="13076" max="13076" width="8.5" style="31" customWidth="1"/>
    <col min="13077" max="13315" width="10.6640625" style="31"/>
    <col min="13316" max="13316" width="13.1640625" style="31" customWidth="1"/>
    <col min="13317" max="13317" width="79" style="31" customWidth="1"/>
    <col min="13318" max="13318" width="3.83203125" style="31" customWidth="1"/>
    <col min="13319" max="13331" width="12.5" style="31" customWidth="1"/>
    <col min="13332" max="13332" width="8.5" style="31" customWidth="1"/>
    <col min="13333" max="13571" width="10.6640625" style="31"/>
    <col min="13572" max="13572" width="13.1640625" style="31" customWidth="1"/>
    <col min="13573" max="13573" width="79" style="31" customWidth="1"/>
    <col min="13574" max="13574" width="3.83203125" style="31" customWidth="1"/>
    <col min="13575" max="13587" width="12.5" style="31" customWidth="1"/>
    <col min="13588" max="13588" width="8.5" style="31" customWidth="1"/>
    <col min="13589" max="13827" width="10.6640625" style="31"/>
    <col min="13828" max="13828" width="13.1640625" style="31" customWidth="1"/>
    <col min="13829" max="13829" width="79" style="31" customWidth="1"/>
    <col min="13830" max="13830" width="3.83203125" style="31" customWidth="1"/>
    <col min="13831" max="13843" width="12.5" style="31" customWidth="1"/>
    <col min="13844" max="13844" width="8.5" style="31" customWidth="1"/>
    <col min="13845" max="14083" width="10.6640625" style="31"/>
    <col min="14084" max="14084" width="13.1640625" style="31" customWidth="1"/>
    <col min="14085" max="14085" width="79" style="31" customWidth="1"/>
    <col min="14086" max="14086" width="3.83203125" style="31" customWidth="1"/>
    <col min="14087" max="14099" width="12.5" style="31" customWidth="1"/>
    <col min="14100" max="14100" width="8.5" style="31" customWidth="1"/>
    <col min="14101" max="14339" width="10.6640625" style="31"/>
    <col min="14340" max="14340" width="13.1640625" style="31" customWidth="1"/>
    <col min="14341" max="14341" width="79" style="31" customWidth="1"/>
    <col min="14342" max="14342" width="3.83203125" style="31" customWidth="1"/>
    <col min="14343" max="14355" width="12.5" style="31" customWidth="1"/>
    <col min="14356" max="14356" width="8.5" style="31" customWidth="1"/>
    <col min="14357" max="14595" width="10.6640625" style="31"/>
    <col min="14596" max="14596" width="13.1640625" style="31" customWidth="1"/>
    <col min="14597" max="14597" width="79" style="31" customWidth="1"/>
    <col min="14598" max="14598" width="3.83203125" style="31" customWidth="1"/>
    <col min="14599" max="14611" width="12.5" style="31" customWidth="1"/>
    <col min="14612" max="14612" width="8.5" style="31" customWidth="1"/>
    <col min="14613" max="14851" width="10.6640625" style="31"/>
    <col min="14852" max="14852" width="13.1640625" style="31" customWidth="1"/>
    <col min="14853" max="14853" width="79" style="31" customWidth="1"/>
    <col min="14854" max="14854" width="3.83203125" style="31" customWidth="1"/>
    <col min="14855" max="14867" width="12.5" style="31" customWidth="1"/>
    <col min="14868" max="14868" width="8.5" style="31" customWidth="1"/>
    <col min="14869" max="15107" width="10.6640625" style="31"/>
    <col min="15108" max="15108" width="13.1640625" style="31" customWidth="1"/>
    <col min="15109" max="15109" width="79" style="31" customWidth="1"/>
    <col min="15110" max="15110" width="3.83203125" style="31" customWidth="1"/>
    <col min="15111" max="15123" width="12.5" style="31" customWidth="1"/>
    <col min="15124" max="15124" width="8.5" style="31" customWidth="1"/>
    <col min="15125" max="15363" width="10.6640625" style="31"/>
    <col min="15364" max="15364" width="13.1640625" style="31" customWidth="1"/>
    <col min="15365" max="15365" width="79" style="31" customWidth="1"/>
    <col min="15366" max="15366" width="3.83203125" style="31" customWidth="1"/>
    <col min="15367" max="15379" width="12.5" style="31" customWidth="1"/>
    <col min="15380" max="15380" width="8.5" style="31" customWidth="1"/>
    <col min="15381" max="15619" width="10.6640625" style="31"/>
    <col min="15620" max="15620" width="13.1640625" style="31" customWidth="1"/>
    <col min="15621" max="15621" width="79" style="31" customWidth="1"/>
    <col min="15622" max="15622" width="3.83203125" style="31" customWidth="1"/>
    <col min="15623" max="15635" width="12.5" style="31" customWidth="1"/>
    <col min="15636" max="15636" width="8.5" style="31" customWidth="1"/>
    <col min="15637" max="15875" width="10.6640625" style="31"/>
    <col min="15876" max="15876" width="13.1640625" style="31" customWidth="1"/>
    <col min="15877" max="15877" width="79" style="31" customWidth="1"/>
    <col min="15878" max="15878" width="3.83203125" style="31" customWidth="1"/>
    <col min="15879" max="15891" width="12.5" style="31" customWidth="1"/>
    <col min="15892" max="15892" width="8.5" style="31" customWidth="1"/>
    <col min="15893" max="16131" width="10.6640625" style="31"/>
    <col min="16132" max="16132" width="13.1640625" style="31" customWidth="1"/>
    <col min="16133" max="16133" width="79" style="31" customWidth="1"/>
    <col min="16134" max="16134" width="3.83203125" style="31" customWidth="1"/>
    <col min="16135" max="16147" width="12.5" style="31" customWidth="1"/>
    <col min="16148" max="16148" width="8.5" style="31" customWidth="1"/>
    <col min="16149" max="16384" width="10.6640625" style="31"/>
  </cols>
  <sheetData>
    <row r="1" spans="1:24" ht="26.25">
      <c r="A1" s="82"/>
      <c r="B1" s="83" t="s">
        <v>2086</v>
      </c>
      <c r="C1" s="529" t="s">
        <v>890</v>
      </c>
      <c r="D1" s="529"/>
      <c r="E1" s="84"/>
      <c r="F1" s="530"/>
      <c r="G1" s="530"/>
      <c r="H1" s="531"/>
      <c r="I1" s="531"/>
      <c r="J1" s="531"/>
      <c r="K1" s="85" t="s">
        <v>842</v>
      </c>
      <c r="L1" s="531"/>
      <c r="M1" s="531"/>
      <c r="N1" s="532"/>
      <c r="O1" s="532"/>
      <c r="P1" s="531"/>
      <c r="Q1" s="531"/>
      <c r="R1" s="531"/>
      <c r="S1" s="531"/>
      <c r="T1" s="533"/>
      <c r="U1" s="534"/>
      <c r="V1" s="534"/>
      <c r="W1" s="534"/>
      <c r="X1" s="534"/>
    </row>
    <row r="2" spans="1:24">
      <c r="A2" s="82"/>
      <c r="B2" s="86" t="s">
        <v>183</v>
      </c>
      <c r="C2" s="87"/>
      <c r="D2" s="88"/>
      <c r="E2" s="88"/>
      <c r="F2" s="89" t="s">
        <v>184</v>
      </c>
      <c r="G2" s="90"/>
      <c r="H2" s="91" t="s">
        <v>891</v>
      </c>
      <c r="I2" s="92"/>
      <c r="J2" s="91" t="s">
        <v>892</v>
      </c>
      <c r="K2" s="92"/>
      <c r="L2" s="91" t="s">
        <v>893</v>
      </c>
      <c r="M2" s="93"/>
      <c r="N2" s="91" t="s">
        <v>951</v>
      </c>
      <c r="O2" s="92"/>
      <c r="P2" s="95" t="s">
        <v>952</v>
      </c>
      <c r="Q2" s="96"/>
      <c r="R2" s="96"/>
      <c r="S2" s="97"/>
      <c r="T2" s="98">
        <f>IF(S4=0,0,S2/S4)</f>
        <v>0</v>
      </c>
      <c r="U2" s="534"/>
      <c r="V2" s="534"/>
      <c r="W2" s="534"/>
      <c r="X2" s="534"/>
    </row>
    <row r="3" spans="1:24" ht="15" customHeight="1" thickBot="1">
      <c r="A3" s="82"/>
      <c r="B3" s="99" t="s">
        <v>854</v>
      </c>
      <c r="C3" s="100"/>
      <c r="D3" s="101"/>
      <c r="E3" s="102"/>
      <c r="F3" s="103" t="s">
        <v>185</v>
      </c>
      <c r="G3" s="104"/>
      <c r="H3" s="105" t="s">
        <v>895</v>
      </c>
      <c r="I3" s="106">
        <f ca="1">TODAY()</f>
        <v>44783</v>
      </c>
      <c r="J3" s="105" t="s">
        <v>896</v>
      </c>
      <c r="K3" s="107">
        <f>80-10</f>
        <v>70</v>
      </c>
      <c r="L3" s="105" t="s">
        <v>895</v>
      </c>
      <c r="M3" s="108">
        <f ca="1">I3+K3+10</f>
        <v>44863</v>
      </c>
      <c r="N3" s="105" t="s">
        <v>953</v>
      </c>
      <c r="O3" s="205"/>
      <c r="P3" s="110" t="s">
        <v>897</v>
      </c>
      <c r="Q3" s="111"/>
      <c r="R3" s="112"/>
      <c r="S3" s="113"/>
      <c r="T3" s="114">
        <f>IF(S3=0,0,1-T2)</f>
        <v>0</v>
      </c>
      <c r="U3" s="534"/>
      <c r="V3" s="534"/>
      <c r="W3" s="534"/>
      <c r="X3" s="534"/>
    </row>
    <row r="4" spans="1:24" ht="18.75" thickBot="1">
      <c r="A4" s="82"/>
      <c r="B4" s="115" t="s">
        <v>898</v>
      </c>
      <c r="C4" s="116"/>
      <c r="D4" s="117"/>
      <c r="E4" s="118" t="s">
        <v>899</v>
      </c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120" t="s">
        <v>900</v>
      </c>
      <c r="Q4" s="121"/>
      <c r="R4" s="121"/>
      <c r="S4" s="122">
        <f>SUM(S2:S3)</f>
        <v>0</v>
      </c>
      <c r="T4" s="123">
        <f>SUM(T2:T3)</f>
        <v>0</v>
      </c>
      <c r="U4" s="534"/>
      <c r="V4" s="534"/>
      <c r="W4" s="534"/>
      <c r="X4" s="534"/>
    </row>
    <row r="5" spans="1:24" ht="12.75" customHeight="1" thickBot="1">
      <c r="A5" s="82"/>
      <c r="B5" s="535" t="s">
        <v>901</v>
      </c>
      <c r="C5" s="536" t="s">
        <v>902</v>
      </c>
      <c r="D5" s="537"/>
      <c r="E5" s="538" t="s">
        <v>80</v>
      </c>
      <c r="F5" s="539" t="s">
        <v>903</v>
      </c>
      <c r="G5" s="540"/>
      <c r="H5" s="540"/>
      <c r="I5" s="540"/>
      <c r="J5" s="540"/>
      <c r="K5" s="540"/>
      <c r="L5" s="540"/>
      <c r="M5" s="541"/>
      <c r="N5" s="541"/>
      <c r="O5" s="541"/>
      <c r="P5" s="542"/>
      <c r="Q5" s="543"/>
      <c r="R5" s="544"/>
      <c r="S5" s="545" t="s">
        <v>536</v>
      </c>
      <c r="T5" s="546" t="s">
        <v>904</v>
      </c>
      <c r="U5" s="534"/>
      <c r="V5" s="534"/>
      <c r="W5" s="534" t="s">
        <v>905</v>
      </c>
      <c r="X5" s="124" t="str">
        <f>IF(S4=S51,"OK","erro")</f>
        <v>OK</v>
      </c>
    </row>
    <row r="6" spans="1:24" ht="13.5" thickBot="1">
      <c r="A6" s="82"/>
      <c r="B6" s="547" t="s">
        <v>906</v>
      </c>
      <c r="C6" s="548"/>
      <c r="D6" s="549"/>
      <c r="E6" s="125">
        <v>6</v>
      </c>
      <c r="F6" s="550">
        <f>IF(E6=0,0,1)</f>
        <v>1</v>
      </c>
      <c r="G6" s="550">
        <f>IF($E$6&lt;2,0,2)</f>
        <v>2</v>
      </c>
      <c r="H6" s="550">
        <f>IF($E$6&lt;3,0,3)</f>
        <v>3</v>
      </c>
      <c r="I6" s="550">
        <f>IF($E$6&lt;4,0,4)</f>
        <v>4</v>
      </c>
      <c r="J6" s="550">
        <f>IF($E$6&lt;5,0,5)</f>
        <v>5</v>
      </c>
      <c r="K6" s="550">
        <f>IF($E$6&lt;6,0,6)</f>
        <v>6</v>
      </c>
      <c r="L6" s="550">
        <f>IF($E$6&lt;7,0,7)</f>
        <v>0</v>
      </c>
      <c r="M6" s="550">
        <f>IF($E$6&lt;8,0,8)</f>
        <v>0</v>
      </c>
      <c r="N6" s="550">
        <f>IF($E$6&lt;9,0,9)</f>
        <v>0</v>
      </c>
      <c r="O6" s="550">
        <f>IF($E$6&lt;10,0,10)</f>
        <v>0</v>
      </c>
      <c r="P6" s="550">
        <f>IF($E$6&lt;11,0,11)</f>
        <v>0</v>
      </c>
      <c r="Q6" s="551">
        <f>IF($E$6&lt;12,0,12)</f>
        <v>0</v>
      </c>
      <c r="R6" s="552"/>
      <c r="S6" s="553" t="s">
        <v>907</v>
      </c>
      <c r="T6" s="554" t="s">
        <v>536</v>
      </c>
      <c r="U6" s="534"/>
      <c r="V6" s="534"/>
      <c r="W6" s="534"/>
      <c r="X6" s="534"/>
    </row>
    <row r="7" spans="1:24" ht="14.25" thickTop="1" thickBot="1">
      <c r="A7" s="82"/>
      <c r="B7" s="547"/>
      <c r="C7" s="548" t="s">
        <v>908</v>
      </c>
      <c r="D7" s="549"/>
      <c r="E7" s="555"/>
      <c r="F7" s="556">
        <f ca="1">IF(E6=0,0,M3)</f>
        <v>44863</v>
      </c>
      <c r="G7" s="556">
        <f ca="1">IF(G6=0,0,F8+1)</f>
        <v>44894</v>
      </c>
      <c r="H7" s="556">
        <f ca="1">IF(H6=0,0,G8+1)</f>
        <v>44925</v>
      </c>
      <c r="I7" s="556">
        <f ca="1">IF(I6=0,0,H8+1)</f>
        <v>44956</v>
      </c>
      <c r="J7" s="556">
        <f ca="1">IF(J6=0,0,I8+1)</f>
        <v>44987</v>
      </c>
      <c r="K7" s="556">
        <f t="shared" ref="K7:Q7" ca="1" si="0">IF(K6=0,0,J8+1)</f>
        <v>45018</v>
      </c>
      <c r="L7" s="556">
        <f t="shared" si="0"/>
        <v>0</v>
      </c>
      <c r="M7" s="556">
        <f t="shared" si="0"/>
        <v>0</v>
      </c>
      <c r="N7" s="556">
        <f t="shared" si="0"/>
        <v>0</v>
      </c>
      <c r="O7" s="556">
        <f t="shared" si="0"/>
        <v>0</v>
      </c>
      <c r="P7" s="556">
        <f t="shared" si="0"/>
        <v>0</v>
      </c>
      <c r="Q7" s="557">
        <f t="shared" si="0"/>
        <v>0</v>
      </c>
      <c r="R7" s="558"/>
      <c r="S7" s="553"/>
      <c r="T7" s="554"/>
      <c r="U7" s="534"/>
      <c r="V7" s="534"/>
      <c r="W7" s="534"/>
      <c r="X7" s="534"/>
    </row>
    <row r="8" spans="1:24" ht="14.25" thickTop="1" thickBot="1">
      <c r="A8" s="82"/>
      <c r="B8" s="547"/>
      <c r="C8" s="548" t="s">
        <v>909</v>
      </c>
      <c r="D8" s="549"/>
      <c r="E8" s="555"/>
      <c r="F8" s="556">
        <f ca="1">IF(E6=0,0,F7+30)</f>
        <v>44893</v>
      </c>
      <c r="G8" s="556">
        <f t="shared" ref="G8:I8" ca="1" si="1">IF(G6=0,0,G7+30)</f>
        <v>44924</v>
      </c>
      <c r="H8" s="556">
        <f t="shared" ca="1" si="1"/>
        <v>44955</v>
      </c>
      <c r="I8" s="556">
        <f t="shared" ca="1" si="1"/>
        <v>44986</v>
      </c>
      <c r="J8" s="556">
        <f ca="1">IF(J6=0,0,J7+30)</f>
        <v>45017</v>
      </c>
      <c r="K8" s="556">
        <f t="shared" ref="K8:Q8" ca="1" si="2">IF(K6=0,0,K7+30)</f>
        <v>45048</v>
      </c>
      <c r="L8" s="556">
        <f t="shared" si="2"/>
        <v>0</v>
      </c>
      <c r="M8" s="556">
        <f t="shared" si="2"/>
        <v>0</v>
      </c>
      <c r="N8" s="556">
        <f t="shared" si="2"/>
        <v>0</v>
      </c>
      <c r="O8" s="556">
        <f t="shared" si="2"/>
        <v>0</v>
      </c>
      <c r="P8" s="556">
        <f t="shared" si="2"/>
        <v>0</v>
      </c>
      <c r="Q8" s="557">
        <f t="shared" si="2"/>
        <v>0</v>
      </c>
      <c r="R8" s="558"/>
      <c r="S8" s="553"/>
      <c r="T8" s="554"/>
      <c r="U8" s="534"/>
      <c r="V8" s="534"/>
      <c r="W8" s="534"/>
      <c r="X8" s="534"/>
    </row>
    <row r="9" spans="1:24" ht="13.5" thickTop="1">
      <c r="A9" s="126" t="str">
        <f>CONCATENATE($E$6,"|",B9)</f>
        <v>6|1</v>
      </c>
      <c r="B9" s="559">
        <v>1</v>
      </c>
      <c r="C9" s="560" t="s">
        <v>494</v>
      </c>
      <c r="D9" s="561"/>
      <c r="E9" s="562">
        <v>1</v>
      </c>
      <c r="F9" s="563">
        <f>IF(E$6&lt;3,0,IF(F$6=0,0,VLOOKUP($A9,'base (2)'!$A:$P,F$6+4,FALSE)))</f>
        <v>20</v>
      </c>
      <c r="G9" s="563">
        <f>IF(E$6&lt;3,0,IF(G$6=0,0,VLOOKUP($A9,'base (2)'!$A:$P,G$6+4,FALSE)))</f>
        <v>30</v>
      </c>
      <c r="H9" s="563">
        <f>IF(H$6=0,0,VLOOKUP($A9,'base (2)'!$A:$P,H$6+4,FALSE))</f>
        <v>30</v>
      </c>
      <c r="I9" s="563">
        <f>IF(I$6=0,0,VLOOKUP($A9,'base (2)'!$A:$P,I$6+4,FALSE))</f>
        <v>20</v>
      </c>
      <c r="J9" s="563">
        <f>IF(J$6=0,0,VLOOKUP($A9,'base (2)'!$A:$P,J$6+4,FALSE))</f>
        <v>0</v>
      </c>
      <c r="K9" s="563">
        <f>IF(K$6=0,0,VLOOKUP($A9,'base (2)'!$A:$P,K$6+4,FALSE))</f>
        <v>0</v>
      </c>
      <c r="L9" s="563">
        <f>IF(L$6=0,0,VLOOKUP($A9,'base (2)'!$A:$P,L$6+4,FALSE))</f>
        <v>0</v>
      </c>
      <c r="M9" s="563">
        <f>IF(M$6=0,0,VLOOKUP($A9,'base (2)'!$A:$P,M$6+4,FALSE))</f>
        <v>0</v>
      </c>
      <c r="N9" s="563">
        <f>IF(N$6=0,0,VLOOKUP($A9,'base (2)'!$A:$P,N$6+4,FALSE))</f>
        <v>0</v>
      </c>
      <c r="O9" s="563">
        <f>IF(O$6=0,0,VLOOKUP($A9,'base (2)'!$A:$P,O$6+4,FALSE))</f>
        <v>0</v>
      </c>
      <c r="P9" s="563">
        <f>IF(P$6=0,0,VLOOKUP($A9,'base (2)'!$A:$P,P$6+4,FALSE))</f>
        <v>0</v>
      </c>
      <c r="Q9" s="564">
        <f>IF(Q$6=0,0,VLOOKUP($A9,'base (2)'!$A:$P,Q$6+4,FALSE))</f>
        <v>0</v>
      </c>
      <c r="R9" s="565"/>
      <c r="S9" s="566"/>
      <c r="T9" s="567">
        <f t="shared" ref="T9:T19" si="3">IF($S$21=0,0,(S9/$S$21)*100)</f>
        <v>0</v>
      </c>
      <c r="U9" s="534"/>
      <c r="V9" s="534"/>
      <c r="W9" s="568">
        <f t="shared" ref="W9:W19" si="4">SUM(F9:Q9)</f>
        <v>100</v>
      </c>
      <c r="X9" s="534"/>
    </row>
    <row r="10" spans="1:24">
      <c r="A10" s="126" t="str">
        <f t="shared" ref="A10:A19" si="5">CONCATENATE($E$6,"|",B10)</f>
        <v>6|2</v>
      </c>
      <c r="B10" s="569" t="s">
        <v>189</v>
      </c>
      <c r="C10" s="560" t="s">
        <v>490</v>
      </c>
      <c r="D10" s="561"/>
      <c r="E10" s="562">
        <v>2</v>
      </c>
      <c r="F10" s="563">
        <f>IF(E$6&lt;3,0,IF(F$6=0,0,VLOOKUP($A10,'base (2)'!$A:$P,F$6+4,FALSE)))</f>
        <v>15</v>
      </c>
      <c r="G10" s="563">
        <f>IF(E$6&lt;3,0,IF(G$6=0,0,VLOOKUP($A10,'base (2)'!$A:$P,G$6+4,FALSE)))</f>
        <v>25</v>
      </c>
      <c r="H10" s="563">
        <f>IF(H$6=0,0,VLOOKUP($A10,'base (2)'!$A:$P,H$6+4,FALSE))</f>
        <v>30</v>
      </c>
      <c r="I10" s="563">
        <f>IF(I$6=0,0,VLOOKUP($A10,'base (2)'!$A:$P,I$6+4,FALSE))</f>
        <v>25</v>
      </c>
      <c r="J10" s="563">
        <f>IF(J$6=0,0,VLOOKUP($A10,'base (2)'!$A:$P,J$6+4,FALSE))</f>
        <v>5</v>
      </c>
      <c r="K10" s="563">
        <f>IF(K$6=0,0,VLOOKUP($A10,'base (2)'!$A:$P,K$6+4,FALSE))</f>
        <v>0</v>
      </c>
      <c r="L10" s="563">
        <f>IF(L$6=0,0,VLOOKUP($A10,'base (2)'!$A:$P,L$6+4,FALSE))</f>
        <v>0</v>
      </c>
      <c r="M10" s="563">
        <f>IF(M$6=0,0,VLOOKUP($A10,'base (2)'!$A:$P,M$6+4,FALSE))</f>
        <v>0</v>
      </c>
      <c r="N10" s="563">
        <f>IF(N$6=0,0,VLOOKUP($A10,'base (2)'!$A:$P,N$6+4,FALSE))</f>
        <v>0</v>
      </c>
      <c r="O10" s="563">
        <f>IF(O$6=0,0,VLOOKUP($A10,'base (2)'!$A:$P,O$6+4,FALSE))</f>
        <v>0</v>
      </c>
      <c r="P10" s="563">
        <f>IF(P$6=0,0,VLOOKUP($A10,'base (2)'!$A:$P,P$6+4,FALSE))</f>
        <v>0</v>
      </c>
      <c r="Q10" s="564">
        <f>IF(Q$6=0,0,VLOOKUP($A10,'base (2)'!$A:$P,Q$6+4,FALSE))</f>
        <v>0</v>
      </c>
      <c r="R10" s="565"/>
      <c r="S10" s="566"/>
      <c r="T10" s="567">
        <f t="shared" si="3"/>
        <v>0</v>
      </c>
      <c r="U10" s="534"/>
      <c r="V10" s="534"/>
      <c r="W10" s="568">
        <f t="shared" si="4"/>
        <v>100</v>
      </c>
      <c r="X10" s="534"/>
    </row>
    <row r="11" spans="1:24">
      <c r="A11" s="126" t="str">
        <f t="shared" si="5"/>
        <v>6|3</v>
      </c>
      <c r="B11" s="569" t="s">
        <v>213</v>
      </c>
      <c r="C11" s="560" t="s">
        <v>496</v>
      </c>
      <c r="D11" s="561"/>
      <c r="E11" s="562">
        <v>3</v>
      </c>
      <c r="F11" s="563">
        <f>IF(E$6&lt;3,0,IF(F$6=0,0,VLOOKUP($A11,'base (2)'!$A:$P,F$6+4,FALSE)))</f>
        <v>5</v>
      </c>
      <c r="G11" s="563">
        <f>IF(E$6&lt;3,0,IF(G$6=0,0,VLOOKUP($A11,'base (2)'!$A:$P,G$6+4,FALSE)))</f>
        <v>20</v>
      </c>
      <c r="H11" s="563">
        <f>IF(H$6=0,0,VLOOKUP($A11,'base (2)'!$A:$P,H$6+4,FALSE))</f>
        <v>30</v>
      </c>
      <c r="I11" s="563">
        <f>IF(I$6=0,0,VLOOKUP($A11,'base (2)'!$A:$P,I$6+4,FALSE))</f>
        <v>25</v>
      </c>
      <c r="J11" s="563">
        <f>IF(J$6=0,0,VLOOKUP($A11,'base (2)'!$A:$P,J$6+4,FALSE))</f>
        <v>20</v>
      </c>
      <c r="K11" s="563">
        <f>IF(K$6=0,0,VLOOKUP($A11,'base (2)'!$A:$P,K$6+4,FALSE))</f>
        <v>0</v>
      </c>
      <c r="L11" s="563">
        <f>IF(L$6=0,0,VLOOKUP($A11,'base (2)'!$A:$P,L$6+4,FALSE))</f>
        <v>0</v>
      </c>
      <c r="M11" s="563">
        <f>IF(M$6=0,0,VLOOKUP($A11,'base (2)'!$A:$P,M$6+4,FALSE))</f>
        <v>0</v>
      </c>
      <c r="N11" s="563">
        <f>IF(N$6=0,0,VLOOKUP($A11,'base (2)'!$A:$P,N$6+4,FALSE))</f>
        <v>0</v>
      </c>
      <c r="O11" s="563">
        <f>IF(O$6=0,0,VLOOKUP($A11,'base (2)'!$A:$P,O$6+4,FALSE))</f>
        <v>0</v>
      </c>
      <c r="P11" s="563">
        <f>IF(P$6=0,0,VLOOKUP($A11,'base (2)'!$A:$P,P$6+4,FALSE))</f>
        <v>0</v>
      </c>
      <c r="Q11" s="564">
        <f>IF(Q$6=0,0,VLOOKUP($A11,'base (2)'!$A:$P,Q$6+4,FALSE))</f>
        <v>0</v>
      </c>
      <c r="R11" s="565"/>
      <c r="S11" s="566"/>
      <c r="T11" s="567">
        <f t="shared" si="3"/>
        <v>0</v>
      </c>
      <c r="U11" s="534"/>
      <c r="V11" s="534"/>
      <c r="W11" s="568">
        <f t="shared" si="4"/>
        <v>100</v>
      </c>
      <c r="X11" s="534"/>
    </row>
    <row r="12" spans="1:24">
      <c r="A12" s="126" t="str">
        <f t="shared" si="5"/>
        <v>6|4</v>
      </c>
      <c r="B12" s="569" t="s">
        <v>231</v>
      </c>
      <c r="C12" s="560" t="s">
        <v>491</v>
      </c>
      <c r="D12" s="561"/>
      <c r="E12" s="562">
        <v>4</v>
      </c>
      <c r="F12" s="563">
        <f>IF(E$6&lt;3,0,IF(F$6=0,0,VLOOKUP($A12,'base (2)'!$A:$P,F$6+4,FALSE)))</f>
        <v>0</v>
      </c>
      <c r="G12" s="563">
        <f>IF(E$6&lt;3,0,IF(G$6=0,0,VLOOKUP($A12,'base (2)'!$A:$P,G$6+4,FALSE)))</f>
        <v>5</v>
      </c>
      <c r="H12" s="563">
        <f>IF(H$6=0,0,VLOOKUP($A12,'base (2)'!$A:$P,H$6+4,FALSE))</f>
        <v>20</v>
      </c>
      <c r="I12" s="563">
        <f>IF(I$6=0,0,VLOOKUP($A12,'base (2)'!$A:$P,I$6+4,FALSE))</f>
        <v>30</v>
      </c>
      <c r="J12" s="563">
        <f>IF(J$6=0,0,VLOOKUP($A12,'base (2)'!$A:$P,J$6+4,FALSE))</f>
        <v>25</v>
      </c>
      <c r="K12" s="563">
        <f>IF(K$6=0,0,VLOOKUP($A12,'base (2)'!$A:$P,K$6+4,FALSE))</f>
        <v>20</v>
      </c>
      <c r="L12" s="563">
        <f>IF(L$6=0,0,VLOOKUP($A12,'base (2)'!$A:$P,L$6+4,FALSE))</f>
        <v>0</v>
      </c>
      <c r="M12" s="563">
        <f>IF(M$6=0,0,VLOOKUP($A12,'base (2)'!$A:$P,M$6+4,FALSE))</f>
        <v>0</v>
      </c>
      <c r="N12" s="563">
        <f>IF(N$6=0,0,VLOOKUP($A12,'base (2)'!$A:$P,N$6+4,FALSE))</f>
        <v>0</v>
      </c>
      <c r="O12" s="563">
        <f>IF(O$6=0,0,VLOOKUP($A12,'base (2)'!$A:$P,O$6+4,FALSE))</f>
        <v>0</v>
      </c>
      <c r="P12" s="563">
        <f>IF(P$6=0,0,VLOOKUP($A12,'base (2)'!$A:$P,P$6+4,FALSE))</f>
        <v>0</v>
      </c>
      <c r="Q12" s="564">
        <f>IF(Q$6=0,0,VLOOKUP($A12,'base (2)'!$A:$P,Q$6+4,FALSE))</f>
        <v>0</v>
      </c>
      <c r="R12" s="565"/>
      <c r="S12" s="566"/>
      <c r="T12" s="567">
        <f t="shared" si="3"/>
        <v>0</v>
      </c>
      <c r="U12" s="534"/>
      <c r="V12" s="534"/>
      <c r="W12" s="568">
        <f t="shared" si="4"/>
        <v>100</v>
      </c>
      <c r="X12" s="534"/>
    </row>
    <row r="13" spans="1:24">
      <c r="A13" s="126" t="str">
        <f t="shared" si="5"/>
        <v>6|5</v>
      </c>
      <c r="B13" s="569" t="s">
        <v>188</v>
      </c>
      <c r="C13" s="560" t="s">
        <v>492</v>
      </c>
      <c r="D13" s="561"/>
      <c r="E13" s="562">
        <v>5</v>
      </c>
      <c r="F13" s="563">
        <f>IF(E$6&lt;3,0,IF(F$6=0,0,VLOOKUP($A13,'base (2)'!$A:$P,F$6+4,FALSE)))</f>
        <v>0</v>
      </c>
      <c r="G13" s="563">
        <f>IF(E$6&lt;3,0,IF(G$6=0,0,VLOOKUP($A13,'base (2)'!$A:$P,G$6+4,FALSE)))</f>
        <v>15</v>
      </c>
      <c r="H13" s="563">
        <f>IF(H$6=0,0,VLOOKUP($A13,'base (2)'!$A:$P,H$6+4,FALSE))</f>
        <v>30</v>
      </c>
      <c r="I13" s="563">
        <f>IF(I$6=0,0,VLOOKUP($A13,'base (2)'!$A:$P,I$6+4,FALSE))</f>
        <v>30</v>
      </c>
      <c r="J13" s="563">
        <f>IF(J$6=0,0,VLOOKUP($A13,'base (2)'!$A:$P,J$6+4,FALSE))</f>
        <v>25</v>
      </c>
      <c r="K13" s="563">
        <f>IF(K$6=0,0,VLOOKUP($A13,'base (2)'!$A:$P,K$6+4,FALSE))</f>
        <v>0</v>
      </c>
      <c r="L13" s="563">
        <f>IF(L$6=0,0,VLOOKUP($A13,'base (2)'!$A:$P,L$6+4,FALSE))</f>
        <v>0</v>
      </c>
      <c r="M13" s="563">
        <f>IF(M$6=0,0,VLOOKUP($A13,'base (2)'!$A:$P,M$6+4,FALSE))</f>
        <v>0</v>
      </c>
      <c r="N13" s="563">
        <f>IF(N$6=0,0,VLOOKUP($A13,'base (2)'!$A:$P,N$6+4,FALSE))</f>
        <v>0</v>
      </c>
      <c r="O13" s="563">
        <f>IF(O$6=0,0,VLOOKUP($A13,'base (2)'!$A:$P,O$6+4,FALSE))</f>
        <v>0</v>
      </c>
      <c r="P13" s="563">
        <f>IF(P$6=0,0,VLOOKUP($A13,'base (2)'!$A:$P,P$6+4,FALSE))</f>
        <v>0</v>
      </c>
      <c r="Q13" s="564">
        <f>IF(Q$6=0,0,VLOOKUP($A13,'base (2)'!$A:$P,Q$6+4,FALSE))</f>
        <v>0</v>
      </c>
      <c r="R13" s="565"/>
      <c r="S13" s="566"/>
      <c r="T13" s="567">
        <f t="shared" si="3"/>
        <v>0</v>
      </c>
      <c r="U13" s="534"/>
      <c r="V13" s="534"/>
      <c r="W13" s="568">
        <f t="shared" si="4"/>
        <v>100</v>
      </c>
      <c r="X13" s="534"/>
    </row>
    <row r="14" spans="1:24">
      <c r="A14" s="126" t="str">
        <f t="shared" si="5"/>
        <v>6|6</v>
      </c>
      <c r="B14" s="569" t="s">
        <v>233</v>
      </c>
      <c r="C14" s="560" t="s">
        <v>836</v>
      </c>
      <c r="D14" s="561"/>
      <c r="E14" s="562">
        <v>3</v>
      </c>
      <c r="F14" s="563">
        <f>IF(E$6&lt;3,0,IF(F$6=0,0,VLOOKUP($A14,'base (2)'!$A:$P,F$6+4,FALSE)))</f>
        <v>0</v>
      </c>
      <c r="G14" s="563">
        <f>IF(E$6&lt;3,0,IF(G$6=0,0,VLOOKUP($A14,'base (2)'!$A:$P,G$6+4,FALSE)))</f>
        <v>5</v>
      </c>
      <c r="H14" s="563">
        <f>IF(H$6=0,0,VLOOKUP($A14,'base (2)'!$A:$P,H$6+4,FALSE))</f>
        <v>10</v>
      </c>
      <c r="I14" s="563">
        <f>IF(I$6=0,0,VLOOKUP($A14,'base (2)'!$A:$P,I$6+4,FALSE))</f>
        <v>30</v>
      </c>
      <c r="J14" s="563">
        <f>IF(J$6=0,0,VLOOKUP($A14,'base (2)'!$A:$P,J$6+4,FALSE))</f>
        <v>30</v>
      </c>
      <c r="K14" s="563">
        <f>IF(K$6=0,0,VLOOKUP($A14,'base (2)'!$A:$P,K$6+4,FALSE))</f>
        <v>25</v>
      </c>
      <c r="L14" s="563">
        <f>IF(L$6=0,0,VLOOKUP($A14,'base (2)'!$A:$P,L$6+4,FALSE))</f>
        <v>0</v>
      </c>
      <c r="M14" s="563">
        <f>IF(M$6=0,0,VLOOKUP($A14,'base (2)'!$A:$P,M$6+4,FALSE))</f>
        <v>0</v>
      </c>
      <c r="N14" s="563">
        <f>IF(N$6=0,0,VLOOKUP($A14,'base (2)'!$A:$P,N$6+4,FALSE))</f>
        <v>0</v>
      </c>
      <c r="O14" s="563">
        <f>IF(O$6=0,0,VLOOKUP($A14,'base (2)'!$A:$P,O$6+4,FALSE))</f>
        <v>0</v>
      </c>
      <c r="P14" s="563">
        <f>IF(P$6=0,0,VLOOKUP($A14,'base (2)'!$A:$P,P$6+4,FALSE))</f>
        <v>0</v>
      </c>
      <c r="Q14" s="564">
        <f>IF(Q$6=0,0,VLOOKUP($A14,'base (2)'!$A:$P,Q$6+4,FALSE))</f>
        <v>0</v>
      </c>
      <c r="R14" s="565"/>
      <c r="S14" s="566"/>
      <c r="T14" s="567">
        <f t="shared" si="3"/>
        <v>0</v>
      </c>
      <c r="U14" s="534"/>
      <c r="V14" s="534"/>
      <c r="W14" s="568">
        <f t="shared" si="4"/>
        <v>100</v>
      </c>
      <c r="X14" s="534"/>
    </row>
    <row r="15" spans="1:24">
      <c r="A15" s="126" t="str">
        <f t="shared" si="5"/>
        <v>6|7</v>
      </c>
      <c r="B15" s="569" t="s">
        <v>471</v>
      </c>
      <c r="C15" s="560" t="s">
        <v>499</v>
      </c>
      <c r="D15" s="561"/>
      <c r="E15" s="562">
        <v>5</v>
      </c>
      <c r="F15" s="563">
        <f>IF(E$6&lt;3,0,IF(F$6=0,0,VLOOKUP($A15,'base (2)'!$A:$P,F$6+4,FALSE)))</f>
        <v>0</v>
      </c>
      <c r="G15" s="563">
        <f>IF(E$6&lt;3,0,IF(G$6=0,0,VLOOKUP($A15,'base (2)'!$A:$P,G$6+4,FALSE)))</f>
        <v>0</v>
      </c>
      <c r="H15" s="563">
        <f>IF(H$6=0,0,VLOOKUP($A15,'base (2)'!$A:$P,H$6+4,FALSE))</f>
        <v>20</v>
      </c>
      <c r="I15" s="563">
        <f>IF(I$6=0,0,VLOOKUP($A15,'base (2)'!$A:$P,I$6+4,FALSE))</f>
        <v>20</v>
      </c>
      <c r="J15" s="563">
        <f>IF(J$6=0,0,VLOOKUP($A15,'base (2)'!$A:$P,J$6+4,FALSE))</f>
        <v>30</v>
      </c>
      <c r="K15" s="563">
        <f>IF(K$6=0,0,VLOOKUP($A15,'base (2)'!$A:$P,K$6+4,FALSE))</f>
        <v>30</v>
      </c>
      <c r="L15" s="563">
        <f>IF(L$6=0,0,VLOOKUP($A15,'base (2)'!$A:$P,L$6+4,FALSE))</f>
        <v>0</v>
      </c>
      <c r="M15" s="563">
        <f>IF(M$6=0,0,VLOOKUP($A15,'base (2)'!$A:$P,M$6+4,FALSE))</f>
        <v>0</v>
      </c>
      <c r="N15" s="563">
        <f>IF(N$6=0,0,VLOOKUP($A15,'base (2)'!$A:$P,N$6+4,FALSE))</f>
        <v>0</v>
      </c>
      <c r="O15" s="563">
        <f>IF(O$6=0,0,VLOOKUP($A15,'base (2)'!$A:$P,O$6+4,FALSE))</f>
        <v>0</v>
      </c>
      <c r="P15" s="563">
        <f>IF(P$6=0,0,VLOOKUP($A15,'base (2)'!$A:$P,P$6+4,FALSE))</f>
        <v>0</v>
      </c>
      <c r="Q15" s="564">
        <f>IF(Q$6=0,0,VLOOKUP($A15,'base (2)'!$A:$P,Q$6+4,FALSE))</f>
        <v>0</v>
      </c>
      <c r="R15" s="565"/>
      <c r="S15" s="566"/>
      <c r="T15" s="567">
        <f t="shared" si="3"/>
        <v>0</v>
      </c>
      <c r="U15" s="534"/>
      <c r="V15" s="534"/>
      <c r="W15" s="568">
        <f t="shared" si="4"/>
        <v>100</v>
      </c>
      <c r="X15" s="534"/>
    </row>
    <row r="16" spans="1:24">
      <c r="A16" s="126" t="str">
        <f t="shared" si="5"/>
        <v>6|8</v>
      </c>
      <c r="B16" s="569" t="s">
        <v>338</v>
      </c>
      <c r="C16" s="560" t="s">
        <v>501</v>
      </c>
      <c r="D16" s="561"/>
      <c r="E16" s="562">
        <v>6</v>
      </c>
      <c r="F16" s="563">
        <f>IF(E$6&lt;3,0,IF(F$6=0,0,VLOOKUP($A16,'base (2)'!$A:$P,F$6+4,FALSE)))</f>
        <v>0</v>
      </c>
      <c r="G16" s="563">
        <f>IF(E$6&lt;3,0,IF(G$6=0,0,VLOOKUP($A16,'base (2)'!$A:$P,G$6+4,FALSE)))</f>
        <v>0</v>
      </c>
      <c r="H16" s="563">
        <f>IF(H$6=0,0,VLOOKUP($A16,'base (2)'!$A:$P,H$6+4,FALSE))</f>
        <v>20</v>
      </c>
      <c r="I16" s="563">
        <f>IF(I$6=0,0,VLOOKUP($A16,'base (2)'!$A:$P,I$6+4,FALSE))</f>
        <v>30</v>
      </c>
      <c r="J16" s="563">
        <f>IF(J$6=0,0,VLOOKUP($A16,'base (2)'!$A:$P,J$6+4,FALSE))</f>
        <v>30</v>
      </c>
      <c r="K16" s="563">
        <f>IF(K$6=0,0,VLOOKUP($A16,'base (2)'!$A:$P,K$6+4,FALSE))</f>
        <v>20</v>
      </c>
      <c r="L16" s="563">
        <f>IF(L$6=0,0,VLOOKUP($A16,'base (2)'!$A:$P,L$6+4,FALSE))</f>
        <v>0</v>
      </c>
      <c r="M16" s="563">
        <f>IF(M$6=0,0,VLOOKUP($A16,'base (2)'!$A:$P,M$6+4,FALSE))</f>
        <v>0</v>
      </c>
      <c r="N16" s="563">
        <f>IF(N$6=0,0,VLOOKUP($A16,'base (2)'!$A:$P,N$6+4,FALSE))</f>
        <v>0</v>
      </c>
      <c r="O16" s="563">
        <f>IF(O$6=0,0,VLOOKUP($A16,'base (2)'!$A:$P,O$6+4,FALSE))</f>
        <v>0</v>
      </c>
      <c r="P16" s="563">
        <f>IF(P$6=0,0,VLOOKUP($A16,'base (2)'!$A:$P,P$6+4,FALSE))</f>
        <v>0</v>
      </c>
      <c r="Q16" s="564">
        <f>IF(Q$6=0,0,VLOOKUP($A16,'base (2)'!$A:$P,Q$6+4,FALSE))</f>
        <v>0</v>
      </c>
      <c r="R16" s="565"/>
      <c r="S16" s="566"/>
      <c r="T16" s="567">
        <f t="shared" si="3"/>
        <v>0</v>
      </c>
      <c r="U16" s="534"/>
      <c r="V16" s="534"/>
      <c r="W16" s="568">
        <f t="shared" si="4"/>
        <v>100</v>
      </c>
      <c r="X16" s="534"/>
    </row>
    <row r="17" spans="1:24">
      <c r="A17" s="126" t="str">
        <f t="shared" si="5"/>
        <v>6|9</v>
      </c>
      <c r="B17" s="569" t="s">
        <v>502</v>
      </c>
      <c r="C17" s="560" t="s">
        <v>503</v>
      </c>
      <c r="D17" s="561"/>
      <c r="E17" s="562">
        <v>6</v>
      </c>
      <c r="F17" s="563">
        <f>IF(E$6&lt;3,0,IF(F$6=0,0,VLOOKUP($A17,'base (2)'!$A:$P,F$6+4,FALSE)))</f>
        <v>5</v>
      </c>
      <c r="G17" s="563">
        <f>IF(E$6&lt;3,0,IF(G$6=0,0,VLOOKUP($A17,'base (2)'!$A:$P,G$6+4,FALSE)))</f>
        <v>15</v>
      </c>
      <c r="H17" s="563">
        <f>IF(H$6=0,0,VLOOKUP($A17,'base (2)'!$A:$P,H$6+4,FALSE))</f>
        <v>25</v>
      </c>
      <c r="I17" s="563">
        <f>IF(I$6=0,0,VLOOKUP($A17,'base (2)'!$A:$P,I$6+4,FALSE))</f>
        <v>25</v>
      </c>
      <c r="J17" s="563">
        <f>IF(J$6=0,0,VLOOKUP($A17,'base (2)'!$A:$P,J$6+4,FALSE))</f>
        <v>20</v>
      </c>
      <c r="K17" s="563">
        <f>IF(K$6=0,0,VLOOKUP($A17,'base (2)'!$A:$P,K$6+4,FALSE))</f>
        <v>10</v>
      </c>
      <c r="L17" s="563">
        <f>IF(L$6=0,0,VLOOKUP($A17,'base (2)'!$A:$P,L$6+4,FALSE))</f>
        <v>0</v>
      </c>
      <c r="M17" s="563">
        <f>IF(M$6=0,0,VLOOKUP($A17,'base (2)'!$A:$P,M$6+4,FALSE))</f>
        <v>0</v>
      </c>
      <c r="N17" s="563">
        <f>IF(N$6=0,0,VLOOKUP($A17,'base (2)'!$A:$P,N$6+4,FALSE))</f>
        <v>0</v>
      </c>
      <c r="O17" s="563">
        <f>IF(O$6=0,0,VLOOKUP($A17,'base (2)'!$A:$P,O$6+4,FALSE))</f>
        <v>0</v>
      </c>
      <c r="P17" s="563">
        <f>IF(P$6=0,0,VLOOKUP($A17,'base (2)'!$A:$P,P$6+4,FALSE))</f>
        <v>0</v>
      </c>
      <c r="Q17" s="564">
        <f>IF(Q$6=0,0,VLOOKUP($A17,'base (2)'!$A:$P,Q$6+4,FALSE))</f>
        <v>0</v>
      </c>
      <c r="R17" s="565"/>
      <c r="S17" s="566"/>
      <c r="T17" s="567">
        <f t="shared" si="3"/>
        <v>0</v>
      </c>
      <c r="U17" s="534"/>
      <c r="V17" s="534"/>
      <c r="W17" s="568">
        <f t="shared" si="4"/>
        <v>100</v>
      </c>
      <c r="X17" s="534"/>
    </row>
    <row r="18" spans="1:24">
      <c r="A18" s="126" t="str">
        <f t="shared" si="5"/>
        <v>6|10</v>
      </c>
      <c r="B18" s="569" t="s">
        <v>504</v>
      </c>
      <c r="C18" s="560" t="s">
        <v>493</v>
      </c>
      <c r="D18" s="561"/>
      <c r="E18" s="562"/>
      <c r="F18" s="563">
        <f>IF(E$6&lt;3,0,IF(F$6=0,0,VLOOKUP($A18,'base (2)'!$A:$P,F$6+4,FALSE)))</f>
        <v>20</v>
      </c>
      <c r="G18" s="563">
        <f>IF(E$6&lt;3,0,IF(G$6=0,0,VLOOKUP($A18,'base (2)'!$A:$P,G$6+4,FALSE)))</f>
        <v>30</v>
      </c>
      <c r="H18" s="563">
        <f>IF(H$6=0,0,VLOOKUP($A18,'base (2)'!$A:$P,H$6+4,FALSE))</f>
        <v>30</v>
      </c>
      <c r="I18" s="563">
        <f>IF(I$6=0,0,VLOOKUP($A18,'base (2)'!$A:$P,I$6+4,FALSE))</f>
        <v>15</v>
      </c>
      <c r="J18" s="563">
        <f>IF(J$6=0,0,VLOOKUP($A18,'base (2)'!$A:$P,J$6+4,FALSE))</f>
        <v>5</v>
      </c>
      <c r="K18" s="563">
        <f>IF(K$6=0,0,VLOOKUP($A18,'base (2)'!$A:$P,K$6+4,FALSE))</f>
        <v>0</v>
      </c>
      <c r="L18" s="563">
        <f>IF(L$6=0,0,VLOOKUP($A18,'base (2)'!$A:$P,L$6+4,FALSE))</f>
        <v>0</v>
      </c>
      <c r="M18" s="563">
        <f>IF(M$6=0,0,VLOOKUP($A18,'base (2)'!$A:$P,M$6+4,FALSE))</f>
        <v>0</v>
      </c>
      <c r="N18" s="563">
        <f>IF(N$6=0,0,VLOOKUP($A18,'base (2)'!$A:$P,N$6+4,FALSE))</f>
        <v>0</v>
      </c>
      <c r="O18" s="563">
        <f>IF(O$6=0,0,VLOOKUP($A18,'base (2)'!$A:$P,O$6+4,FALSE))</f>
        <v>0</v>
      </c>
      <c r="P18" s="563">
        <f>IF(P$6=0,0,VLOOKUP($A18,'base (2)'!$A:$P,P$6+4,FALSE))</f>
        <v>0</v>
      </c>
      <c r="Q18" s="564">
        <f>IF(Q$6=0,0,VLOOKUP($A18,'base (2)'!$A:$P,Q$6+4,FALSE))</f>
        <v>0</v>
      </c>
      <c r="R18" s="565"/>
      <c r="S18" s="566"/>
      <c r="T18" s="567">
        <f t="shared" si="3"/>
        <v>0</v>
      </c>
      <c r="U18" s="534"/>
      <c r="V18" s="534"/>
      <c r="W18" s="568">
        <f t="shared" si="4"/>
        <v>100</v>
      </c>
      <c r="X18" s="534"/>
    </row>
    <row r="19" spans="1:24">
      <c r="A19" s="126" t="str">
        <f t="shared" si="5"/>
        <v>6|11</v>
      </c>
      <c r="B19" s="569" t="s">
        <v>758</v>
      </c>
      <c r="C19" s="560" t="s">
        <v>796</v>
      </c>
      <c r="D19" s="561"/>
      <c r="E19" s="562"/>
      <c r="F19" s="563">
        <f>IF(E$6&lt;3,0,IF(F$6=0,0,VLOOKUP($A19,'base (2)'!$A:$P,F$6+4,FALSE)))</f>
        <v>3</v>
      </c>
      <c r="G19" s="563">
        <f>IF(E$6&lt;3,0,IF(G$6=0,0,VLOOKUP($A19,'base (2)'!$A:$P,G$6+4,FALSE)))</f>
        <v>12</v>
      </c>
      <c r="H19" s="563">
        <f>IF(H$6=0,0,VLOOKUP($A19,'base (2)'!$A:$P,H$6+4,FALSE))</f>
        <v>25</v>
      </c>
      <c r="I19" s="563">
        <f>IF(I$6=0,0,VLOOKUP($A19,'base (2)'!$A:$P,I$6+4,FALSE))</f>
        <v>28</v>
      </c>
      <c r="J19" s="563">
        <f>IF(J$6=0,0,VLOOKUP($A19,'base (2)'!$A:$P,J$6+4,FALSE))</f>
        <v>21</v>
      </c>
      <c r="K19" s="563">
        <f>IF(K$6=0,0,VLOOKUP($A19,'base (2)'!$A:$P,K$6+4,FALSE))</f>
        <v>11</v>
      </c>
      <c r="L19" s="563">
        <f>IF(L$6=0,0,VLOOKUP($A19,'base (2)'!$A:$P,L$6+4,FALSE))</f>
        <v>0</v>
      </c>
      <c r="M19" s="563">
        <f>IF(M$6=0,0,VLOOKUP($A19,'base (2)'!$A:$P,M$6+4,FALSE))</f>
        <v>0</v>
      </c>
      <c r="N19" s="563">
        <f>IF(N$6=0,0,VLOOKUP($A19,'base (2)'!$A:$P,N$6+4,FALSE))</f>
        <v>0</v>
      </c>
      <c r="O19" s="563">
        <f>IF(O$6=0,0,VLOOKUP($A19,'base (2)'!$A:$P,O$6+4,FALSE))</f>
        <v>0</v>
      </c>
      <c r="P19" s="563">
        <f>IF(P$6=0,0,VLOOKUP($A19,'base (2)'!$A:$P,P$6+4,FALSE))</f>
        <v>0</v>
      </c>
      <c r="Q19" s="564">
        <f>IF(Q$6=0,0,VLOOKUP($A19,'base (2)'!$A:$P,Q$6+4,FALSE))</f>
        <v>0</v>
      </c>
      <c r="R19" s="565"/>
      <c r="S19" s="566"/>
      <c r="T19" s="567">
        <f t="shared" si="3"/>
        <v>0</v>
      </c>
      <c r="U19" s="534"/>
      <c r="V19" s="534"/>
      <c r="W19" s="568">
        <f t="shared" si="4"/>
        <v>100</v>
      </c>
      <c r="X19" s="534"/>
    </row>
    <row r="20" spans="1:24" ht="13.5" thickBot="1">
      <c r="A20" s="82"/>
      <c r="B20" s="570"/>
      <c r="C20" s="571"/>
      <c r="D20" s="571"/>
      <c r="E20" s="571"/>
      <c r="F20" s="127"/>
      <c r="G20" s="127"/>
      <c r="H20" s="127"/>
      <c r="I20" s="127"/>
      <c r="J20" s="127"/>
      <c r="K20" s="127"/>
      <c r="L20" s="127"/>
      <c r="M20" s="127"/>
      <c r="N20" s="127"/>
      <c r="O20" s="127"/>
      <c r="P20" s="127"/>
      <c r="Q20" s="127"/>
      <c r="R20" s="127"/>
      <c r="S20" s="128"/>
      <c r="T20" s="129"/>
      <c r="U20" s="534"/>
      <c r="V20" s="534"/>
      <c r="W20" s="534"/>
      <c r="X20" s="534"/>
    </row>
    <row r="21" spans="1:24" ht="14.25" thickTop="1" thickBot="1">
      <c r="A21" s="82"/>
      <c r="B21" s="572"/>
      <c r="C21" s="130" t="s">
        <v>910</v>
      </c>
      <c r="D21" s="130" t="s">
        <v>910</v>
      </c>
      <c r="E21" s="573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2">
        <f>SUM(S9:S20)</f>
        <v>0</v>
      </c>
      <c r="T21" s="133">
        <f>SUM(T9:T19)</f>
        <v>0</v>
      </c>
      <c r="U21" s="534"/>
      <c r="V21" s="534"/>
      <c r="W21" s="534"/>
      <c r="X21" s="534"/>
    </row>
    <row r="22" spans="1:24" ht="18.75" thickTop="1">
      <c r="A22" s="82"/>
      <c r="B22" s="134" t="s">
        <v>954</v>
      </c>
      <c r="C22" s="135"/>
      <c r="D22" s="135"/>
      <c r="E22" s="135"/>
      <c r="F22" s="136"/>
      <c r="G22" s="136"/>
      <c r="H22" s="136"/>
      <c r="I22" s="136"/>
      <c r="J22" s="136"/>
      <c r="K22" s="136"/>
      <c r="L22" s="136"/>
      <c r="M22" s="136"/>
      <c r="N22" s="136"/>
      <c r="O22" s="136"/>
      <c r="P22" s="136"/>
      <c r="Q22" s="136"/>
      <c r="R22" s="136"/>
      <c r="S22" s="136"/>
      <c r="T22" s="137"/>
      <c r="U22" s="534"/>
      <c r="V22" s="534"/>
      <c r="W22" s="534"/>
      <c r="X22" s="534"/>
    </row>
    <row r="23" spans="1:24" ht="13.5" thickBot="1">
      <c r="A23" s="82"/>
      <c r="B23" s="547" t="s">
        <v>906</v>
      </c>
      <c r="C23" s="552"/>
      <c r="D23" s="552"/>
      <c r="E23" s="552"/>
      <c r="F23" s="138" t="s">
        <v>912</v>
      </c>
      <c r="G23" s="138"/>
      <c r="H23" s="138"/>
      <c r="I23" s="138"/>
      <c r="J23" s="138"/>
      <c r="K23" s="138"/>
      <c r="L23" s="138"/>
      <c r="M23" s="138"/>
      <c r="N23" s="138"/>
      <c r="O23" s="138"/>
      <c r="P23" s="138"/>
      <c r="Q23" s="139"/>
      <c r="R23" s="544" t="s">
        <v>913</v>
      </c>
      <c r="S23" s="140" t="s">
        <v>536</v>
      </c>
      <c r="T23" s="141" t="s">
        <v>904</v>
      </c>
      <c r="U23" s="534"/>
      <c r="V23" s="534"/>
      <c r="W23" s="534"/>
      <c r="X23" s="534"/>
    </row>
    <row r="24" spans="1:24" ht="13.5" thickTop="1">
      <c r="A24" s="82"/>
      <c r="B24" s="574"/>
      <c r="C24" s="575"/>
      <c r="D24" s="576"/>
      <c r="E24" s="576"/>
      <c r="F24" s="142">
        <f t="shared" ref="F24:Q24" si="6">F6</f>
        <v>1</v>
      </c>
      <c r="G24" s="142">
        <f t="shared" si="6"/>
        <v>2</v>
      </c>
      <c r="H24" s="142">
        <f t="shared" si="6"/>
        <v>3</v>
      </c>
      <c r="I24" s="142">
        <f t="shared" si="6"/>
        <v>4</v>
      </c>
      <c r="J24" s="142">
        <f t="shared" si="6"/>
        <v>5</v>
      </c>
      <c r="K24" s="142">
        <f t="shared" si="6"/>
        <v>6</v>
      </c>
      <c r="L24" s="142">
        <f t="shared" si="6"/>
        <v>0</v>
      </c>
      <c r="M24" s="142">
        <f t="shared" si="6"/>
        <v>0</v>
      </c>
      <c r="N24" s="142">
        <f t="shared" si="6"/>
        <v>0</v>
      </c>
      <c r="O24" s="142">
        <f t="shared" si="6"/>
        <v>0</v>
      </c>
      <c r="P24" s="142">
        <f t="shared" si="6"/>
        <v>0</v>
      </c>
      <c r="Q24" s="143">
        <f t="shared" si="6"/>
        <v>0</v>
      </c>
      <c r="R24" s="577" t="s">
        <v>914</v>
      </c>
      <c r="S24" s="144" t="s">
        <v>906</v>
      </c>
      <c r="T24" s="145" t="s">
        <v>906</v>
      </c>
      <c r="U24" s="534"/>
      <c r="V24" s="534"/>
      <c r="W24" s="534"/>
      <c r="X24" s="534"/>
    </row>
    <row r="25" spans="1:24">
      <c r="A25" s="82"/>
      <c r="B25" s="146" t="s">
        <v>915</v>
      </c>
      <c r="C25" s="147" t="s">
        <v>494</v>
      </c>
      <c r="D25" s="148" t="s">
        <v>955</v>
      </c>
      <c r="E25" s="149" t="s">
        <v>917</v>
      </c>
      <c r="F25" s="150">
        <f t="shared" ref="F25:Q25" si="7">((F9/100)*$S$9)*$T$2</f>
        <v>0</v>
      </c>
      <c r="G25" s="150">
        <f t="shared" si="7"/>
        <v>0</v>
      </c>
      <c r="H25" s="150">
        <f t="shared" si="7"/>
        <v>0</v>
      </c>
      <c r="I25" s="150">
        <f t="shared" si="7"/>
        <v>0</v>
      </c>
      <c r="J25" s="150">
        <f t="shared" si="7"/>
        <v>0</v>
      </c>
      <c r="K25" s="150">
        <f t="shared" si="7"/>
        <v>0</v>
      </c>
      <c r="L25" s="150">
        <f t="shared" si="7"/>
        <v>0</v>
      </c>
      <c r="M25" s="150">
        <f t="shared" si="7"/>
        <v>0</v>
      </c>
      <c r="N25" s="150">
        <f t="shared" si="7"/>
        <v>0</v>
      </c>
      <c r="O25" s="150">
        <f t="shared" si="7"/>
        <v>0</v>
      </c>
      <c r="P25" s="150">
        <f t="shared" si="7"/>
        <v>0</v>
      </c>
      <c r="Q25" s="151">
        <f t="shared" si="7"/>
        <v>0</v>
      </c>
      <c r="R25" s="152">
        <f>COUNTIF(F25:Q25,"&gt;0")</f>
        <v>0</v>
      </c>
      <c r="S25" s="153">
        <f t="shared" ref="S25:S46" si="8">SUM(F25:Q25)</f>
        <v>0</v>
      </c>
      <c r="T25" s="154">
        <f t="shared" ref="T25:T46" si="9">IF($S$51=0,0,(S25/$S$51))</f>
        <v>0</v>
      </c>
      <c r="U25" s="534"/>
      <c r="V25" s="534"/>
      <c r="W25" s="534"/>
      <c r="X25" s="534"/>
    </row>
    <row r="26" spans="1:24">
      <c r="A26" s="82"/>
      <c r="B26" s="146" t="s">
        <v>918</v>
      </c>
      <c r="C26" s="155"/>
      <c r="D26" s="148" t="s">
        <v>919</v>
      </c>
      <c r="E26" s="149" t="s">
        <v>917</v>
      </c>
      <c r="F26" s="150">
        <f>((F9/100)*$S$9)*T3</f>
        <v>0</v>
      </c>
      <c r="G26" s="150">
        <f t="shared" ref="G26:Q26" si="10">((G9/100)*$S$9)*$T$3</f>
        <v>0</v>
      </c>
      <c r="H26" s="150">
        <f t="shared" si="10"/>
        <v>0</v>
      </c>
      <c r="I26" s="150">
        <f t="shared" si="10"/>
        <v>0</v>
      </c>
      <c r="J26" s="150">
        <f t="shared" si="10"/>
        <v>0</v>
      </c>
      <c r="K26" s="150">
        <f t="shared" si="10"/>
        <v>0</v>
      </c>
      <c r="L26" s="150">
        <f t="shared" si="10"/>
        <v>0</v>
      </c>
      <c r="M26" s="150">
        <f t="shared" si="10"/>
        <v>0</v>
      </c>
      <c r="N26" s="150">
        <f t="shared" si="10"/>
        <v>0</v>
      </c>
      <c r="O26" s="150">
        <f t="shared" si="10"/>
        <v>0</v>
      </c>
      <c r="P26" s="150">
        <f t="shared" si="10"/>
        <v>0</v>
      </c>
      <c r="Q26" s="151">
        <f t="shared" si="10"/>
        <v>0</v>
      </c>
      <c r="R26" s="156">
        <f t="shared" ref="R26:R46" si="11">COUNTIF(F26:Q26,"&gt;0")</f>
        <v>0</v>
      </c>
      <c r="S26" s="153">
        <f t="shared" si="8"/>
        <v>0</v>
      </c>
      <c r="T26" s="154">
        <f t="shared" si="9"/>
        <v>0</v>
      </c>
      <c r="U26" s="578"/>
      <c r="V26" s="534"/>
      <c r="W26" s="534"/>
      <c r="X26" s="534"/>
    </row>
    <row r="27" spans="1:24">
      <c r="A27" s="82"/>
      <c r="B27" s="146" t="s">
        <v>920</v>
      </c>
      <c r="C27" s="157" t="s">
        <v>490</v>
      </c>
      <c r="D27" s="149" t="s">
        <v>955</v>
      </c>
      <c r="E27" s="149" t="s">
        <v>917</v>
      </c>
      <c r="F27" s="150">
        <f t="shared" ref="F27:Q27" si="12">((F10/100)*$S$10)*$T$2</f>
        <v>0</v>
      </c>
      <c r="G27" s="150">
        <f t="shared" si="12"/>
        <v>0</v>
      </c>
      <c r="H27" s="150">
        <f t="shared" si="12"/>
        <v>0</v>
      </c>
      <c r="I27" s="150">
        <f t="shared" si="12"/>
        <v>0</v>
      </c>
      <c r="J27" s="150">
        <f t="shared" si="12"/>
        <v>0</v>
      </c>
      <c r="K27" s="150">
        <f t="shared" si="12"/>
        <v>0</v>
      </c>
      <c r="L27" s="150">
        <f t="shared" si="12"/>
        <v>0</v>
      </c>
      <c r="M27" s="150">
        <f t="shared" si="12"/>
        <v>0</v>
      </c>
      <c r="N27" s="150">
        <f t="shared" si="12"/>
        <v>0</v>
      </c>
      <c r="O27" s="150">
        <f t="shared" si="12"/>
        <v>0</v>
      </c>
      <c r="P27" s="150">
        <f t="shared" si="12"/>
        <v>0</v>
      </c>
      <c r="Q27" s="151">
        <f t="shared" si="12"/>
        <v>0</v>
      </c>
      <c r="R27" s="156">
        <f t="shared" si="11"/>
        <v>0</v>
      </c>
      <c r="S27" s="153">
        <f t="shared" si="8"/>
        <v>0</v>
      </c>
      <c r="T27" s="154">
        <f t="shared" si="9"/>
        <v>0</v>
      </c>
      <c r="U27" s="534"/>
      <c r="V27" s="534"/>
      <c r="W27" s="534"/>
      <c r="X27" s="534"/>
    </row>
    <row r="28" spans="1:24">
      <c r="A28" s="82"/>
      <c r="B28" s="146" t="s">
        <v>921</v>
      </c>
      <c r="C28" s="158"/>
      <c r="D28" s="149" t="s">
        <v>919</v>
      </c>
      <c r="E28" s="149" t="s">
        <v>917</v>
      </c>
      <c r="F28" s="150">
        <f t="shared" ref="F28:Q28" si="13">((F10/100)*$S$10)*$T$3</f>
        <v>0</v>
      </c>
      <c r="G28" s="150">
        <f t="shared" si="13"/>
        <v>0</v>
      </c>
      <c r="H28" s="150">
        <f t="shared" si="13"/>
        <v>0</v>
      </c>
      <c r="I28" s="150">
        <f t="shared" si="13"/>
        <v>0</v>
      </c>
      <c r="J28" s="150">
        <f t="shared" si="13"/>
        <v>0</v>
      </c>
      <c r="K28" s="150">
        <f t="shared" si="13"/>
        <v>0</v>
      </c>
      <c r="L28" s="150">
        <f t="shared" si="13"/>
        <v>0</v>
      </c>
      <c r="M28" s="150">
        <f t="shared" si="13"/>
        <v>0</v>
      </c>
      <c r="N28" s="150">
        <f t="shared" si="13"/>
        <v>0</v>
      </c>
      <c r="O28" s="150">
        <f t="shared" si="13"/>
        <v>0</v>
      </c>
      <c r="P28" s="150">
        <f t="shared" si="13"/>
        <v>0</v>
      </c>
      <c r="Q28" s="151">
        <f t="shared" si="13"/>
        <v>0</v>
      </c>
      <c r="R28" s="156">
        <f t="shared" si="11"/>
        <v>0</v>
      </c>
      <c r="S28" s="153">
        <f t="shared" si="8"/>
        <v>0</v>
      </c>
      <c r="T28" s="154">
        <f t="shared" si="9"/>
        <v>0</v>
      </c>
      <c r="U28" s="578"/>
      <c r="V28" s="534"/>
      <c r="W28" s="534"/>
      <c r="X28" s="534"/>
    </row>
    <row r="29" spans="1:24">
      <c r="A29" s="82"/>
      <c r="B29" s="146" t="s">
        <v>922</v>
      </c>
      <c r="C29" s="157" t="s">
        <v>496</v>
      </c>
      <c r="D29" s="149" t="s">
        <v>955</v>
      </c>
      <c r="E29" s="149" t="s">
        <v>917</v>
      </c>
      <c r="F29" s="150">
        <f t="shared" ref="F29:Q29" si="14">((F11/100)*$S$11)*$T$2</f>
        <v>0</v>
      </c>
      <c r="G29" s="150">
        <f t="shared" si="14"/>
        <v>0</v>
      </c>
      <c r="H29" s="150">
        <f t="shared" si="14"/>
        <v>0</v>
      </c>
      <c r="I29" s="150">
        <f t="shared" si="14"/>
        <v>0</v>
      </c>
      <c r="J29" s="150">
        <f t="shared" si="14"/>
        <v>0</v>
      </c>
      <c r="K29" s="150">
        <f t="shared" si="14"/>
        <v>0</v>
      </c>
      <c r="L29" s="150">
        <f t="shared" si="14"/>
        <v>0</v>
      </c>
      <c r="M29" s="150">
        <f t="shared" si="14"/>
        <v>0</v>
      </c>
      <c r="N29" s="150">
        <f t="shared" si="14"/>
        <v>0</v>
      </c>
      <c r="O29" s="150">
        <f t="shared" si="14"/>
        <v>0</v>
      </c>
      <c r="P29" s="150">
        <f t="shared" si="14"/>
        <v>0</v>
      </c>
      <c r="Q29" s="151">
        <f t="shared" si="14"/>
        <v>0</v>
      </c>
      <c r="R29" s="156">
        <f t="shared" si="11"/>
        <v>0</v>
      </c>
      <c r="S29" s="153">
        <f t="shared" si="8"/>
        <v>0</v>
      </c>
      <c r="T29" s="154">
        <f t="shared" si="9"/>
        <v>0</v>
      </c>
      <c r="U29" s="534"/>
      <c r="V29" s="534"/>
      <c r="W29" s="534"/>
      <c r="X29" s="534"/>
    </row>
    <row r="30" spans="1:24">
      <c r="A30" s="82"/>
      <c r="B30" s="146" t="s">
        <v>923</v>
      </c>
      <c r="C30" s="158"/>
      <c r="D30" s="149" t="s">
        <v>919</v>
      </c>
      <c r="E30" s="149" t="s">
        <v>917</v>
      </c>
      <c r="F30" s="150">
        <f t="shared" ref="F30:Q30" si="15">((F11/100)*$S$11)*$T$3</f>
        <v>0</v>
      </c>
      <c r="G30" s="150">
        <f t="shared" si="15"/>
        <v>0</v>
      </c>
      <c r="H30" s="150">
        <f t="shared" si="15"/>
        <v>0</v>
      </c>
      <c r="I30" s="150">
        <f t="shared" si="15"/>
        <v>0</v>
      </c>
      <c r="J30" s="150">
        <f t="shared" si="15"/>
        <v>0</v>
      </c>
      <c r="K30" s="150">
        <f t="shared" si="15"/>
        <v>0</v>
      </c>
      <c r="L30" s="150">
        <f t="shared" si="15"/>
        <v>0</v>
      </c>
      <c r="M30" s="150">
        <f t="shared" si="15"/>
        <v>0</v>
      </c>
      <c r="N30" s="150">
        <f t="shared" si="15"/>
        <v>0</v>
      </c>
      <c r="O30" s="150">
        <f t="shared" si="15"/>
        <v>0</v>
      </c>
      <c r="P30" s="150">
        <f t="shared" si="15"/>
        <v>0</v>
      </c>
      <c r="Q30" s="151">
        <f t="shared" si="15"/>
        <v>0</v>
      </c>
      <c r="R30" s="156">
        <f t="shared" si="11"/>
        <v>0</v>
      </c>
      <c r="S30" s="153">
        <f t="shared" si="8"/>
        <v>0</v>
      </c>
      <c r="T30" s="154">
        <f t="shared" si="9"/>
        <v>0</v>
      </c>
      <c r="U30" s="578"/>
      <c r="V30" s="534"/>
      <c r="W30" s="534"/>
      <c r="X30" s="534"/>
    </row>
    <row r="31" spans="1:24">
      <c r="A31" s="82"/>
      <c r="B31" s="146" t="s">
        <v>924</v>
      </c>
      <c r="C31" s="157" t="s">
        <v>491</v>
      </c>
      <c r="D31" s="149" t="s">
        <v>955</v>
      </c>
      <c r="E31" s="149" t="s">
        <v>917</v>
      </c>
      <c r="F31" s="150">
        <f>((F12/100)*$S$12)*T2</f>
        <v>0</v>
      </c>
      <c r="G31" s="150">
        <f t="shared" ref="G31:Q31" si="16">((G12/100)*$S$12)*$T$2</f>
        <v>0</v>
      </c>
      <c r="H31" s="150">
        <f t="shared" si="16"/>
        <v>0</v>
      </c>
      <c r="I31" s="150">
        <f t="shared" si="16"/>
        <v>0</v>
      </c>
      <c r="J31" s="150">
        <f t="shared" si="16"/>
        <v>0</v>
      </c>
      <c r="K31" s="150">
        <f t="shared" si="16"/>
        <v>0</v>
      </c>
      <c r="L31" s="150">
        <f t="shared" si="16"/>
        <v>0</v>
      </c>
      <c r="M31" s="150">
        <f t="shared" si="16"/>
        <v>0</v>
      </c>
      <c r="N31" s="150">
        <f t="shared" si="16"/>
        <v>0</v>
      </c>
      <c r="O31" s="150">
        <f t="shared" si="16"/>
        <v>0</v>
      </c>
      <c r="P31" s="150">
        <f t="shared" si="16"/>
        <v>0</v>
      </c>
      <c r="Q31" s="151">
        <f t="shared" si="16"/>
        <v>0</v>
      </c>
      <c r="R31" s="156">
        <f t="shared" si="11"/>
        <v>0</v>
      </c>
      <c r="S31" s="153">
        <f t="shared" si="8"/>
        <v>0</v>
      </c>
      <c r="T31" s="154">
        <f t="shared" si="9"/>
        <v>0</v>
      </c>
      <c r="U31" s="534"/>
      <c r="V31" s="534"/>
      <c r="W31" s="534"/>
      <c r="X31" s="534"/>
    </row>
    <row r="32" spans="1:24">
      <c r="A32" s="82"/>
      <c r="B32" s="146" t="s">
        <v>925</v>
      </c>
      <c r="C32" s="158"/>
      <c r="D32" s="149" t="s">
        <v>919</v>
      </c>
      <c r="E32" s="149" t="s">
        <v>917</v>
      </c>
      <c r="F32" s="150">
        <f t="shared" ref="F32:Q32" si="17">((F12/100)*$S$12)*$T$3</f>
        <v>0</v>
      </c>
      <c r="G32" s="150">
        <f t="shared" si="17"/>
        <v>0</v>
      </c>
      <c r="H32" s="150">
        <f t="shared" si="17"/>
        <v>0</v>
      </c>
      <c r="I32" s="150">
        <f t="shared" si="17"/>
        <v>0</v>
      </c>
      <c r="J32" s="150">
        <f t="shared" si="17"/>
        <v>0</v>
      </c>
      <c r="K32" s="150">
        <f t="shared" si="17"/>
        <v>0</v>
      </c>
      <c r="L32" s="150">
        <f t="shared" si="17"/>
        <v>0</v>
      </c>
      <c r="M32" s="150">
        <f t="shared" si="17"/>
        <v>0</v>
      </c>
      <c r="N32" s="150">
        <f t="shared" si="17"/>
        <v>0</v>
      </c>
      <c r="O32" s="150">
        <f t="shared" si="17"/>
        <v>0</v>
      </c>
      <c r="P32" s="150">
        <f t="shared" si="17"/>
        <v>0</v>
      </c>
      <c r="Q32" s="151">
        <f t="shared" si="17"/>
        <v>0</v>
      </c>
      <c r="R32" s="156">
        <f t="shared" si="11"/>
        <v>0</v>
      </c>
      <c r="S32" s="153">
        <f t="shared" si="8"/>
        <v>0</v>
      </c>
      <c r="T32" s="154">
        <f t="shared" si="9"/>
        <v>0</v>
      </c>
      <c r="U32" s="578"/>
      <c r="V32" s="534"/>
      <c r="W32" s="534"/>
      <c r="X32" s="534"/>
    </row>
    <row r="33" spans="1:24">
      <c r="A33" s="82"/>
      <c r="B33" s="146" t="s">
        <v>926</v>
      </c>
      <c r="C33" s="157" t="s">
        <v>492</v>
      </c>
      <c r="D33" s="149" t="s">
        <v>955</v>
      </c>
      <c r="E33" s="149" t="s">
        <v>917</v>
      </c>
      <c r="F33" s="150">
        <f t="shared" ref="F33:Q33" si="18">((F13/100)*$S$13)*$T$2</f>
        <v>0</v>
      </c>
      <c r="G33" s="150">
        <f t="shared" si="18"/>
        <v>0</v>
      </c>
      <c r="H33" s="150">
        <f t="shared" si="18"/>
        <v>0</v>
      </c>
      <c r="I33" s="150">
        <f t="shared" si="18"/>
        <v>0</v>
      </c>
      <c r="J33" s="150">
        <f t="shared" si="18"/>
        <v>0</v>
      </c>
      <c r="K33" s="150">
        <f t="shared" si="18"/>
        <v>0</v>
      </c>
      <c r="L33" s="150">
        <f t="shared" si="18"/>
        <v>0</v>
      </c>
      <c r="M33" s="150">
        <f t="shared" si="18"/>
        <v>0</v>
      </c>
      <c r="N33" s="150">
        <f t="shared" si="18"/>
        <v>0</v>
      </c>
      <c r="O33" s="150">
        <f t="shared" si="18"/>
        <v>0</v>
      </c>
      <c r="P33" s="150">
        <f t="shared" si="18"/>
        <v>0</v>
      </c>
      <c r="Q33" s="151">
        <f t="shared" si="18"/>
        <v>0</v>
      </c>
      <c r="R33" s="156">
        <f t="shared" si="11"/>
        <v>0</v>
      </c>
      <c r="S33" s="153">
        <f t="shared" si="8"/>
        <v>0</v>
      </c>
      <c r="T33" s="154">
        <f t="shared" si="9"/>
        <v>0</v>
      </c>
      <c r="U33" s="534"/>
      <c r="V33" s="534"/>
      <c r="W33" s="534"/>
      <c r="X33" s="534"/>
    </row>
    <row r="34" spans="1:24">
      <c r="A34" s="82"/>
      <c r="B34" s="146" t="s">
        <v>927</v>
      </c>
      <c r="C34" s="158"/>
      <c r="D34" s="149" t="s">
        <v>919</v>
      </c>
      <c r="E34" s="149" t="s">
        <v>917</v>
      </c>
      <c r="F34" s="150">
        <f t="shared" ref="F34:Q34" si="19">((F13/100)*$S$13)*$T$3</f>
        <v>0</v>
      </c>
      <c r="G34" s="150">
        <f t="shared" si="19"/>
        <v>0</v>
      </c>
      <c r="H34" s="150">
        <f t="shared" si="19"/>
        <v>0</v>
      </c>
      <c r="I34" s="150">
        <f t="shared" si="19"/>
        <v>0</v>
      </c>
      <c r="J34" s="150">
        <f t="shared" si="19"/>
        <v>0</v>
      </c>
      <c r="K34" s="150">
        <f t="shared" si="19"/>
        <v>0</v>
      </c>
      <c r="L34" s="150">
        <f t="shared" si="19"/>
        <v>0</v>
      </c>
      <c r="M34" s="150">
        <f t="shared" si="19"/>
        <v>0</v>
      </c>
      <c r="N34" s="150">
        <f t="shared" si="19"/>
        <v>0</v>
      </c>
      <c r="O34" s="150">
        <f t="shared" si="19"/>
        <v>0</v>
      </c>
      <c r="P34" s="150">
        <f t="shared" si="19"/>
        <v>0</v>
      </c>
      <c r="Q34" s="151">
        <f t="shared" si="19"/>
        <v>0</v>
      </c>
      <c r="R34" s="156">
        <f t="shared" si="11"/>
        <v>0</v>
      </c>
      <c r="S34" s="153">
        <f t="shared" si="8"/>
        <v>0</v>
      </c>
      <c r="T34" s="154">
        <f t="shared" si="9"/>
        <v>0</v>
      </c>
      <c r="U34" s="578"/>
      <c r="V34" s="534"/>
      <c r="W34" s="534"/>
      <c r="X34" s="534"/>
    </row>
    <row r="35" spans="1:24">
      <c r="A35" s="82"/>
      <c r="B35" s="146" t="s">
        <v>928</v>
      </c>
      <c r="C35" s="157" t="s">
        <v>1013</v>
      </c>
      <c r="D35" s="149" t="s">
        <v>955</v>
      </c>
      <c r="E35" s="149" t="s">
        <v>917</v>
      </c>
      <c r="F35" s="150">
        <f t="shared" ref="F35:Q35" si="20">((F14/100)*$S$14)*$T$2</f>
        <v>0</v>
      </c>
      <c r="G35" s="150">
        <f t="shared" si="20"/>
        <v>0</v>
      </c>
      <c r="H35" s="150">
        <f t="shared" si="20"/>
        <v>0</v>
      </c>
      <c r="I35" s="150">
        <f t="shared" si="20"/>
        <v>0</v>
      </c>
      <c r="J35" s="150">
        <f t="shared" si="20"/>
        <v>0</v>
      </c>
      <c r="K35" s="150">
        <f t="shared" si="20"/>
        <v>0</v>
      </c>
      <c r="L35" s="150">
        <f t="shared" si="20"/>
        <v>0</v>
      </c>
      <c r="M35" s="150">
        <f t="shared" si="20"/>
        <v>0</v>
      </c>
      <c r="N35" s="150">
        <f t="shared" si="20"/>
        <v>0</v>
      </c>
      <c r="O35" s="150">
        <f t="shared" si="20"/>
        <v>0</v>
      </c>
      <c r="P35" s="150">
        <f t="shared" si="20"/>
        <v>0</v>
      </c>
      <c r="Q35" s="151">
        <f t="shared" si="20"/>
        <v>0</v>
      </c>
      <c r="R35" s="156">
        <f t="shared" si="11"/>
        <v>0</v>
      </c>
      <c r="S35" s="153">
        <f t="shared" si="8"/>
        <v>0</v>
      </c>
      <c r="T35" s="154">
        <f t="shared" si="9"/>
        <v>0</v>
      </c>
      <c r="U35" s="534"/>
      <c r="V35" s="534"/>
      <c r="W35" s="534"/>
      <c r="X35" s="534"/>
    </row>
    <row r="36" spans="1:24">
      <c r="A36" s="82"/>
      <c r="B36" s="146" t="s">
        <v>929</v>
      </c>
      <c r="C36" s="158"/>
      <c r="D36" s="149" t="s">
        <v>919</v>
      </c>
      <c r="E36" s="149" t="s">
        <v>917</v>
      </c>
      <c r="F36" s="150">
        <f t="shared" ref="F36:Q36" si="21">((F14/100)*$S$14)*$T$3</f>
        <v>0</v>
      </c>
      <c r="G36" s="150">
        <f t="shared" si="21"/>
        <v>0</v>
      </c>
      <c r="H36" s="150">
        <f t="shared" si="21"/>
        <v>0</v>
      </c>
      <c r="I36" s="150">
        <f t="shared" si="21"/>
        <v>0</v>
      </c>
      <c r="J36" s="150">
        <f t="shared" si="21"/>
        <v>0</v>
      </c>
      <c r="K36" s="150">
        <f t="shared" si="21"/>
        <v>0</v>
      </c>
      <c r="L36" s="150">
        <f t="shared" si="21"/>
        <v>0</v>
      </c>
      <c r="M36" s="150">
        <f t="shared" si="21"/>
        <v>0</v>
      </c>
      <c r="N36" s="150">
        <f t="shared" si="21"/>
        <v>0</v>
      </c>
      <c r="O36" s="150">
        <f t="shared" si="21"/>
        <v>0</v>
      </c>
      <c r="P36" s="150">
        <f t="shared" si="21"/>
        <v>0</v>
      </c>
      <c r="Q36" s="151">
        <f t="shared" si="21"/>
        <v>0</v>
      </c>
      <c r="R36" s="156">
        <f t="shared" si="11"/>
        <v>0</v>
      </c>
      <c r="S36" s="153">
        <f t="shared" si="8"/>
        <v>0</v>
      </c>
      <c r="T36" s="154">
        <f t="shared" si="9"/>
        <v>0</v>
      </c>
      <c r="U36" s="578"/>
      <c r="V36" s="534"/>
      <c r="W36" s="534"/>
      <c r="X36" s="534"/>
    </row>
    <row r="37" spans="1:24">
      <c r="A37" s="82"/>
      <c r="B37" s="146" t="s">
        <v>930</v>
      </c>
      <c r="C37" s="157" t="s">
        <v>499</v>
      </c>
      <c r="D37" s="149" t="s">
        <v>955</v>
      </c>
      <c r="E37" s="149" t="s">
        <v>917</v>
      </c>
      <c r="F37" s="150">
        <f t="shared" ref="F37:Q37" si="22">((F15/100)*$S$15)*$T$2</f>
        <v>0</v>
      </c>
      <c r="G37" s="150">
        <f t="shared" si="22"/>
        <v>0</v>
      </c>
      <c r="H37" s="150">
        <f t="shared" si="22"/>
        <v>0</v>
      </c>
      <c r="I37" s="150">
        <f t="shared" si="22"/>
        <v>0</v>
      </c>
      <c r="J37" s="150">
        <f t="shared" si="22"/>
        <v>0</v>
      </c>
      <c r="K37" s="150">
        <f t="shared" si="22"/>
        <v>0</v>
      </c>
      <c r="L37" s="150">
        <f t="shared" si="22"/>
        <v>0</v>
      </c>
      <c r="M37" s="150">
        <f t="shared" si="22"/>
        <v>0</v>
      </c>
      <c r="N37" s="150">
        <f t="shared" si="22"/>
        <v>0</v>
      </c>
      <c r="O37" s="150">
        <f t="shared" si="22"/>
        <v>0</v>
      </c>
      <c r="P37" s="150">
        <f t="shared" si="22"/>
        <v>0</v>
      </c>
      <c r="Q37" s="151">
        <f t="shared" si="22"/>
        <v>0</v>
      </c>
      <c r="R37" s="156">
        <f t="shared" si="11"/>
        <v>0</v>
      </c>
      <c r="S37" s="153">
        <f t="shared" si="8"/>
        <v>0</v>
      </c>
      <c r="T37" s="154">
        <f t="shared" si="9"/>
        <v>0</v>
      </c>
      <c r="U37" s="534"/>
      <c r="V37" s="534"/>
      <c r="W37" s="534"/>
      <c r="X37" s="534"/>
    </row>
    <row r="38" spans="1:24">
      <c r="A38" s="82"/>
      <c r="B38" s="146" t="s">
        <v>931</v>
      </c>
      <c r="C38" s="158"/>
      <c r="D38" s="149" t="s">
        <v>919</v>
      </c>
      <c r="E38" s="149" t="s">
        <v>917</v>
      </c>
      <c r="F38" s="150">
        <f t="shared" ref="F38:Q38" si="23">((F15/100)*$S$15)*$T$3</f>
        <v>0</v>
      </c>
      <c r="G38" s="150">
        <f t="shared" si="23"/>
        <v>0</v>
      </c>
      <c r="H38" s="150">
        <f t="shared" si="23"/>
        <v>0</v>
      </c>
      <c r="I38" s="150">
        <f t="shared" si="23"/>
        <v>0</v>
      </c>
      <c r="J38" s="150">
        <f t="shared" si="23"/>
        <v>0</v>
      </c>
      <c r="K38" s="150">
        <f t="shared" si="23"/>
        <v>0</v>
      </c>
      <c r="L38" s="150">
        <f t="shared" si="23"/>
        <v>0</v>
      </c>
      <c r="M38" s="150">
        <f t="shared" si="23"/>
        <v>0</v>
      </c>
      <c r="N38" s="150">
        <f t="shared" si="23"/>
        <v>0</v>
      </c>
      <c r="O38" s="150">
        <f t="shared" si="23"/>
        <v>0</v>
      </c>
      <c r="P38" s="150">
        <f t="shared" si="23"/>
        <v>0</v>
      </c>
      <c r="Q38" s="151">
        <f t="shared" si="23"/>
        <v>0</v>
      </c>
      <c r="R38" s="156">
        <f t="shared" si="11"/>
        <v>0</v>
      </c>
      <c r="S38" s="153">
        <f t="shared" si="8"/>
        <v>0</v>
      </c>
      <c r="T38" s="154">
        <f t="shared" si="9"/>
        <v>0</v>
      </c>
      <c r="U38" s="578"/>
      <c r="V38" s="534"/>
      <c r="W38" s="534"/>
      <c r="X38" s="534"/>
    </row>
    <row r="39" spans="1:24">
      <c r="A39" s="82"/>
      <c r="B39" s="146" t="s">
        <v>932</v>
      </c>
      <c r="C39" s="157" t="s">
        <v>501</v>
      </c>
      <c r="D39" s="149" t="s">
        <v>955</v>
      </c>
      <c r="E39" s="149" t="s">
        <v>917</v>
      </c>
      <c r="F39" s="150">
        <f t="shared" ref="F39:Q39" si="24">((F16/100)*$S$16)*$T$2</f>
        <v>0</v>
      </c>
      <c r="G39" s="150">
        <f t="shared" si="24"/>
        <v>0</v>
      </c>
      <c r="H39" s="150">
        <f t="shared" si="24"/>
        <v>0</v>
      </c>
      <c r="I39" s="150">
        <f t="shared" si="24"/>
        <v>0</v>
      </c>
      <c r="J39" s="150">
        <f t="shared" si="24"/>
        <v>0</v>
      </c>
      <c r="K39" s="150">
        <f t="shared" si="24"/>
        <v>0</v>
      </c>
      <c r="L39" s="150">
        <f t="shared" si="24"/>
        <v>0</v>
      </c>
      <c r="M39" s="150">
        <f t="shared" si="24"/>
        <v>0</v>
      </c>
      <c r="N39" s="150">
        <f t="shared" si="24"/>
        <v>0</v>
      </c>
      <c r="O39" s="150">
        <f t="shared" si="24"/>
        <v>0</v>
      </c>
      <c r="P39" s="150">
        <f t="shared" si="24"/>
        <v>0</v>
      </c>
      <c r="Q39" s="151">
        <f t="shared" si="24"/>
        <v>0</v>
      </c>
      <c r="R39" s="156">
        <f t="shared" si="11"/>
        <v>0</v>
      </c>
      <c r="S39" s="153">
        <f t="shared" si="8"/>
        <v>0</v>
      </c>
      <c r="T39" s="154">
        <f t="shared" si="9"/>
        <v>0</v>
      </c>
      <c r="U39" s="534"/>
      <c r="V39" s="534"/>
      <c r="W39" s="534"/>
      <c r="X39" s="534"/>
    </row>
    <row r="40" spans="1:24">
      <c r="A40" s="82"/>
      <c r="B40" s="146" t="s">
        <v>933</v>
      </c>
      <c r="C40" s="158"/>
      <c r="D40" s="149" t="s">
        <v>919</v>
      </c>
      <c r="E40" s="149" t="s">
        <v>917</v>
      </c>
      <c r="F40" s="150">
        <f t="shared" ref="F40:Q40" si="25">((F16/100)*$S$16)*$T$3</f>
        <v>0</v>
      </c>
      <c r="G40" s="150">
        <f t="shared" si="25"/>
        <v>0</v>
      </c>
      <c r="H40" s="150">
        <f t="shared" si="25"/>
        <v>0</v>
      </c>
      <c r="I40" s="150">
        <f t="shared" si="25"/>
        <v>0</v>
      </c>
      <c r="J40" s="150">
        <f t="shared" si="25"/>
        <v>0</v>
      </c>
      <c r="K40" s="150">
        <f t="shared" si="25"/>
        <v>0</v>
      </c>
      <c r="L40" s="150">
        <f t="shared" si="25"/>
        <v>0</v>
      </c>
      <c r="M40" s="150">
        <f t="shared" si="25"/>
        <v>0</v>
      </c>
      <c r="N40" s="150">
        <f t="shared" si="25"/>
        <v>0</v>
      </c>
      <c r="O40" s="150">
        <f t="shared" si="25"/>
        <v>0</v>
      </c>
      <c r="P40" s="150">
        <f t="shared" si="25"/>
        <v>0</v>
      </c>
      <c r="Q40" s="151">
        <f t="shared" si="25"/>
        <v>0</v>
      </c>
      <c r="R40" s="156">
        <f t="shared" si="11"/>
        <v>0</v>
      </c>
      <c r="S40" s="153">
        <f t="shared" si="8"/>
        <v>0</v>
      </c>
      <c r="T40" s="154">
        <f t="shared" si="9"/>
        <v>0</v>
      </c>
      <c r="U40" s="578"/>
      <c r="V40" s="534"/>
      <c r="W40" s="534"/>
      <c r="X40" s="534"/>
    </row>
    <row r="41" spans="1:24">
      <c r="A41" s="82"/>
      <c r="B41" s="146" t="s">
        <v>934</v>
      </c>
      <c r="C41" s="157" t="s">
        <v>503</v>
      </c>
      <c r="D41" s="149" t="s">
        <v>955</v>
      </c>
      <c r="E41" s="149" t="s">
        <v>917</v>
      </c>
      <c r="F41" s="150">
        <f t="shared" ref="F41:Q41" si="26">((F17/100)*$S$17)*$T$2</f>
        <v>0</v>
      </c>
      <c r="G41" s="150">
        <f t="shared" si="26"/>
        <v>0</v>
      </c>
      <c r="H41" s="150">
        <f t="shared" si="26"/>
        <v>0</v>
      </c>
      <c r="I41" s="150">
        <f t="shared" si="26"/>
        <v>0</v>
      </c>
      <c r="J41" s="150">
        <f t="shared" si="26"/>
        <v>0</v>
      </c>
      <c r="K41" s="150">
        <f t="shared" si="26"/>
        <v>0</v>
      </c>
      <c r="L41" s="150">
        <f t="shared" si="26"/>
        <v>0</v>
      </c>
      <c r="M41" s="150">
        <f t="shared" si="26"/>
        <v>0</v>
      </c>
      <c r="N41" s="150">
        <f t="shared" si="26"/>
        <v>0</v>
      </c>
      <c r="O41" s="150">
        <f t="shared" si="26"/>
        <v>0</v>
      </c>
      <c r="P41" s="150">
        <f t="shared" si="26"/>
        <v>0</v>
      </c>
      <c r="Q41" s="151">
        <f t="shared" si="26"/>
        <v>0</v>
      </c>
      <c r="R41" s="156">
        <f t="shared" si="11"/>
        <v>0</v>
      </c>
      <c r="S41" s="153">
        <f t="shared" si="8"/>
        <v>0</v>
      </c>
      <c r="T41" s="154">
        <f t="shared" si="9"/>
        <v>0</v>
      </c>
      <c r="U41" s="534"/>
      <c r="V41" s="534"/>
      <c r="W41" s="534"/>
      <c r="X41" s="534"/>
    </row>
    <row r="42" spans="1:24">
      <c r="A42" s="82"/>
      <c r="B42" s="146" t="s">
        <v>935</v>
      </c>
      <c r="C42" s="158"/>
      <c r="D42" s="149" t="s">
        <v>919</v>
      </c>
      <c r="E42" s="149" t="s">
        <v>917</v>
      </c>
      <c r="F42" s="150">
        <f t="shared" ref="F42:Q42" si="27">((F17/100)*$S$17)*$T$3</f>
        <v>0</v>
      </c>
      <c r="G42" s="150">
        <f t="shared" si="27"/>
        <v>0</v>
      </c>
      <c r="H42" s="150">
        <f t="shared" si="27"/>
        <v>0</v>
      </c>
      <c r="I42" s="150">
        <f t="shared" si="27"/>
        <v>0</v>
      </c>
      <c r="J42" s="150">
        <f t="shared" si="27"/>
        <v>0</v>
      </c>
      <c r="K42" s="150">
        <f t="shared" si="27"/>
        <v>0</v>
      </c>
      <c r="L42" s="150">
        <f t="shared" si="27"/>
        <v>0</v>
      </c>
      <c r="M42" s="150">
        <f t="shared" si="27"/>
        <v>0</v>
      </c>
      <c r="N42" s="150">
        <f t="shared" si="27"/>
        <v>0</v>
      </c>
      <c r="O42" s="150">
        <f t="shared" si="27"/>
        <v>0</v>
      </c>
      <c r="P42" s="150">
        <f t="shared" si="27"/>
        <v>0</v>
      </c>
      <c r="Q42" s="151">
        <f t="shared" si="27"/>
        <v>0</v>
      </c>
      <c r="R42" s="156">
        <f t="shared" si="11"/>
        <v>0</v>
      </c>
      <c r="S42" s="153">
        <f t="shared" si="8"/>
        <v>0</v>
      </c>
      <c r="T42" s="154">
        <f t="shared" si="9"/>
        <v>0</v>
      </c>
      <c r="U42" s="578"/>
      <c r="V42" s="534"/>
      <c r="W42" s="534"/>
      <c r="X42" s="534"/>
    </row>
    <row r="43" spans="1:24">
      <c r="A43" s="82"/>
      <c r="B43" s="146" t="s">
        <v>936</v>
      </c>
      <c r="C43" s="157" t="s">
        <v>493</v>
      </c>
      <c r="D43" s="149" t="s">
        <v>955</v>
      </c>
      <c r="E43" s="149" t="s">
        <v>917</v>
      </c>
      <c r="F43" s="150">
        <f t="shared" ref="F43:Q43" si="28">((F18/100)*$S$18)*$T$2</f>
        <v>0</v>
      </c>
      <c r="G43" s="150">
        <f t="shared" si="28"/>
        <v>0</v>
      </c>
      <c r="H43" s="150">
        <f t="shared" si="28"/>
        <v>0</v>
      </c>
      <c r="I43" s="150">
        <f t="shared" si="28"/>
        <v>0</v>
      </c>
      <c r="J43" s="150">
        <f t="shared" si="28"/>
        <v>0</v>
      </c>
      <c r="K43" s="150">
        <f t="shared" si="28"/>
        <v>0</v>
      </c>
      <c r="L43" s="150">
        <f t="shared" si="28"/>
        <v>0</v>
      </c>
      <c r="M43" s="150">
        <f t="shared" si="28"/>
        <v>0</v>
      </c>
      <c r="N43" s="150">
        <f t="shared" si="28"/>
        <v>0</v>
      </c>
      <c r="O43" s="150">
        <f t="shared" si="28"/>
        <v>0</v>
      </c>
      <c r="P43" s="150">
        <f t="shared" si="28"/>
        <v>0</v>
      </c>
      <c r="Q43" s="151">
        <f t="shared" si="28"/>
        <v>0</v>
      </c>
      <c r="R43" s="156">
        <f t="shared" si="11"/>
        <v>0</v>
      </c>
      <c r="S43" s="153">
        <f t="shared" si="8"/>
        <v>0</v>
      </c>
      <c r="T43" s="154">
        <f t="shared" si="9"/>
        <v>0</v>
      </c>
      <c r="U43" s="534"/>
      <c r="V43" s="534"/>
      <c r="W43" s="534"/>
      <c r="X43" s="534"/>
    </row>
    <row r="44" spans="1:24">
      <c r="A44" s="82"/>
      <c r="B44" s="146" t="s">
        <v>937</v>
      </c>
      <c r="C44" s="158"/>
      <c r="D44" s="149" t="s">
        <v>919</v>
      </c>
      <c r="E44" s="149" t="s">
        <v>917</v>
      </c>
      <c r="F44" s="150">
        <f t="shared" ref="F44:Q44" si="29">((F18/100)*$S$18)*$T$3</f>
        <v>0</v>
      </c>
      <c r="G44" s="150">
        <f t="shared" si="29"/>
        <v>0</v>
      </c>
      <c r="H44" s="150">
        <f t="shared" si="29"/>
        <v>0</v>
      </c>
      <c r="I44" s="150">
        <f t="shared" si="29"/>
        <v>0</v>
      </c>
      <c r="J44" s="150">
        <f t="shared" si="29"/>
        <v>0</v>
      </c>
      <c r="K44" s="150">
        <f t="shared" si="29"/>
        <v>0</v>
      </c>
      <c r="L44" s="150">
        <f t="shared" si="29"/>
        <v>0</v>
      </c>
      <c r="M44" s="150">
        <f t="shared" si="29"/>
        <v>0</v>
      </c>
      <c r="N44" s="150">
        <f t="shared" si="29"/>
        <v>0</v>
      </c>
      <c r="O44" s="150">
        <f t="shared" si="29"/>
        <v>0</v>
      </c>
      <c r="P44" s="150">
        <f t="shared" si="29"/>
        <v>0</v>
      </c>
      <c r="Q44" s="151">
        <f t="shared" si="29"/>
        <v>0</v>
      </c>
      <c r="R44" s="156">
        <f t="shared" si="11"/>
        <v>0</v>
      </c>
      <c r="S44" s="153">
        <f t="shared" si="8"/>
        <v>0</v>
      </c>
      <c r="T44" s="154">
        <f t="shared" si="9"/>
        <v>0</v>
      </c>
      <c r="U44" s="578"/>
      <c r="V44" s="534"/>
      <c r="W44" s="534"/>
      <c r="X44" s="534"/>
    </row>
    <row r="45" spans="1:24">
      <c r="A45" s="82"/>
      <c r="B45" s="146" t="s">
        <v>938</v>
      </c>
      <c r="C45" s="157" t="s">
        <v>796</v>
      </c>
      <c r="D45" s="149" t="s">
        <v>955</v>
      </c>
      <c r="E45" s="149" t="s">
        <v>917</v>
      </c>
      <c r="F45" s="150">
        <f t="shared" ref="F45:Q45" si="30">((F19/100)*$S$19)*$T$2</f>
        <v>0</v>
      </c>
      <c r="G45" s="150">
        <f t="shared" si="30"/>
        <v>0</v>
      </c>
      <c r="H45" s="150">
        <f t="shared" si="30"/>
        <v>0</v>
      </c>
      <c r="I45" s="150">
        <f t="shared" si="30"/>
        <v>0</v>
      </c>
      <c r="J45" s="150">
        <f t="shared" si="30"/>
        <v>0</v>
      </c>
      <c r="K45" s="150">
        <f t="shared" si="30"/>
        <v>0</v>
      </c>
      <c r="L45" s="150">
        <f t="shared" si="30"/>
        <v>0</v>
      </c>
      <c r="M45" s="150">
        <f t="shared" si="30"/>
        <v>0</v>
      </c>
      <c r="N45" s="150">
        <f t="shared" si="30"/>
        <v>0</v>
      </c>
      <c r="O45" s="150">
        <f t="shared" si="30"/>
        <v>0</v>
      </c>
      <c r="P45" s="150">
        <f t="shared" si="30"/>
        <v>0</v>
      </c>
      <c r="Q45" s="151">
        <f t="shared" si="30"/>
        <v>0</v>
      </c>
      <c r="R45" s="156">
        <f t="shared" si="11"/>
        <v>0</v>
      </c>
      <c r="S45" s="153">
        <f t="shared" si="8"/>
        <v>0</v>
      </c>
      <c r="T45" s="154">
        <f t="shared" si="9"/>
        <v>0</v>
      </c>
      <c r="U45" s="534"/>
      <c r="V45" s="534"/>
      <c r="W45" s="534"/>
      <c r="X45" s="534"/>
    </row>
    <row r="46" spans="1:24">
      <c r="A46" s="82"/>
      <c r="B46" s="146" t="s">
        <v>939</v>
      </c>
      <c r="C46" s="158"/>
      <c r="D46" s="149" t="s">
        <v>919</v>
      </c>
      <c r="E46" s="149" t="s">
        <v>917</v>
      </c>
      <c r="F46" s="150">
        <f t="shared" ref="F46:Q46" si="31">((F19/100)*$S$19)*$T$3</f>
        <v>0</v>
      </c>
      <c r="G46" s="150">
        <f t="shared" si="31"/>
        <v>0</v>
      </c>
      <c r="H46" s="150">
        <f t="shared" si="31"/>
        <v>0</v>
      </c>
      <c r="I46" s="150">
        <f t="shared" si="31"/>
        <v>0</v>
      </c>
      <c r="J46" s="150">
        <f t="shared" si="31"/>
        <v>0</v>
      </c>
      <c r="K46" s="150">
        <f t="shared" si="31"/>
        <v>0</v>
      </c>
      <c r="L46" s="150">
        <f t="shared" si="31"/>
        <v>0</v>
      </c>
      <c r="M46" s="150">
        <f t="shared" si="31"/>
        <v>0</v>
      </c>
      <c r="N46" s="150">
        <f t="shared" si="31"/>
        <v>0</v>
      </c>
      <c r="O46" s="150">
        <f t="shared" si="31"/>
        <v>0</v>
      </c>
      <c r="P46" s="150">
        <f t="shared" si="31"/>
        <v>0</v>
      </c>
      <c r="Q46" s="151">
        <f t="shared" si="31"/>
        <v>0</v>
      </c>
      <c r="R46" s="156">
        <f t="shared" si="11"/>
        <v>0</v>
      </c>
      <c r="S46" s="153">
        <f t="shared" si="8"/>
        <v>0</v>
      </c>
      <c r="T46" s="154">
        <f t="shared" si="9"/>
        <v>0</v>
      </c>
      <c r="U46" s="578"/>
      <c r="V46" s="534"/>
      <c r="W46" s="534"/>
      <c r="X46" s="534"/>
    </row>
    <row r="47" spans="1:24">
      <c r="A47" s="82"/>
      <c r="B47" s="159"/>
      <c r="C47" s="160"/>
      <c r="D47" s="160"/>
      <c r="E47" s="160"/>
      <c r="F47" s="161"/>
      <c r="G47" s="161"/>
      <c r="H47" s="161"/>
      <c r="I47" s="161"/>
      <c r="J47" s="161"/>
      <c r="K47" s="161"/>
      <c r="L47" s="161"/>
      <c r="M47" s="161"/>
      <c r="N47" s="161"/>
      <c r="O47" s="161"/>
      <c r="P47" s="161"/>
      <c r="Q47" s="162"/>
      <c r="R47" s="161"/>
      <c r="S47" s="161"/>
      <c r="T47" s="163"/>
      <c r="U47" s="534"/>
      <c r="V47" s="534"/>
      <c r="W47" s="534"/>
      <c r="X47" s="534"/>
    </row>
    <row r="48" spans="1:24">
      <c r="A48" s="82"/>
      <c r="B48" s="146" t="s">
        <v>940</v>
      </c>
      <c r="C48" s="157" t="s">
        <v>910</v>
      </c>
      <c r="D48" s="155" t="s">
        <v>955</v>
      </c>
      <c r="E48" s="155" t="s">
        <v>917</v>
      </c>
      <c r="F48" s="164">
        <f t="shared" ref="F48:T48" si="32">SUMIF($D$25:$D$46,"TESOURO",F$25:F$46)</f>
        <v>0</v>
      </c>
      <c r="G48" s="164">
        <f t="shared" si="32"/>
        <v>0</v>
      </c>
      <c r="H48" s="164">
        <f t="shared" si="32"/>
        <v>0</v>
      </c>
      <c r="I48" s="164">
        <f t="shared" si="32"/>
        <v>0</v>
      </c>
      <c r="J48" s="164">
        <f t="shared" si="32"/>
        <v>0</v>
      </c>
      <c r="K48" s="164">
        <f t="shared" si="32"/>
        <v>0</v>
      </c>
      <c r="L48" s="164">
        <f t="shared" si="32"/>
        <v>0</v>
      </c>
      <c r="M48" s="164">
        <f t="shared" si="32"/>
        <v>0</v>
      </c>
      <c r="N48" s="164">
        <f t="shared" si="32"/>
        <v>0</v>
      </c>
      <c r="O48" s="164">
        <f t="shared" si="32"/>
        <v>0</v>
      </c>
      <c r="P48" s="164">
        <f t="shared" si="32"/>
        <v>0</v>
      </c>
      <c r="Q48" s="165">
        <f t="shared" si="32"/>
        <v>0</v>
      </c>
      <c r="R48" s="166"/>
      <c r="S48" s="167">
        <f t="shared" si="32"/>
        <v>0</v>
      </c>
      <c r="T48" s="168">
        <f t="shared" si="32"/>
        <v>0</v>
      </c>
      <c r="U48" s="534"/>
      <c r="V48" s="534"/>
      <c r="W48" s="534"/>
      <c r="X48" s="534"/>
    </row>
    <row r="49" spans="1:24">
      <c r="A49" s="82"/>
      <c r="B49" s="146" t="s">
        <v>941</v>
      </c>
      <c r="C49" s="158"/>
      <c r="D49" s="169" t="s">
        <v>919</v>
      </c>
      <c r="E49" s="169" t="s">
        <v>917</v>
      </c>
      <c r="F49" s="164">
        <f t="shared" ref="F49:T49" si="33">SUMIF($D$25:$D$46,"CONTRAPARTIDA",F$25:F$46)</f>
        <v>0</v>
      </c>
      <c r="G49" s="164">
        <f t="shared" si="33"/>
        <v>0</v>
      </c>
      <c r="H49" s="164">
        <f t="shared" si="33"/>
        <v>0</v>
      </c>
      <c r="I49" s="164">
        <f t="shared" si="33"/>
        <v>0</v>
      </c>
      <c r="J49" s="164">
        <f t="shared" si="33"/>
        <v>0</v>
      </c>
      <c r="K49" s="164">
        <f t="shared" si="33"/>
        <v>0</v>
      </c>
      <c r="L49" s="164">
        <f t="shared" si="33"/>
        <v>0</v>
      </c>
      <c r="M49" s="164">
        <f t="shared" si="33"/>
        <v>0</v>
      </c>
      <c r="N49" s="164">
        <f t="shared" si="33"/>
        <v>0</v>
      </c>
      <c r="O49" s="164">
        <f t="shared" si="33"/>
        <v>0</v>
      </c>
      <c r="P49" s="164">
        <f t="shared" si="33"/>
        <v>0</v>
      </c>
      <c r="Q49" s="165">
        <f t="shared" si="33"/>
        <v>0</v>
      </c>
      <c r="R49" s="170"/>
      <c r="S49" s="167">
        <f t="shared" si="33"/>
        <v>0</v>
      </c>
      <c r="T49" s="168">
        <f t="shared" si="33"/>
        <v>0</v>
      </c>
      <c r="U49" s="534"/>
      <c r="V49" s="534"/>
      <c r="W49" s="534"/>
      <c r="X49" s="534"/>
    </row>
    <row r="50" spans="1:24">
      <c r="A50" s="82"/>
      <c r="B50" s="171"/>
      <c r="C50" s="160"/>
      <c r="D50" s="160"/>
      <c r="E50" s="160"/>
      <c r="F50" s="161"/>
      <c r="G50" s="161"/>
      <c r="H50" s="161"/>
      <c r="I50" s="161"/>
      <c r="J50" s="161"/>
      <c r="K50" s="161"/>
      <c r="L50" s="161"/>
      <c r="M50" s="161"/>
      <c r="N50" s="161"/>
      <c r="O50" s="161"/>
      <c r="P50" s="161"/>
      <c r="Q50" s="162"/>
      <c r="R50" s="161"/>
      <c r="S50" s="172"/>
      <c r="T50" s="173"/>
      <c r="U50" s="534"/>
      <c r="V50" s="534"/>
      <c r="W50" s="534"/>
      <c r="X50" s="534"/>
    </row>
    <row r="51" spans="1:24" ht="15" customHeight="1" thickBot="1">
      <c r="A51" s="82"/>
      <c r="B51" s="174" t="s">
        <v>942</v>
      </c>
      <c r="C51" s="579"/>
      <c r="D51" s="579"/>
      <c r="E51" s="580" t="s">
        <v>917</v>
      </c>
      <c r="F51" s="175">
        <f t="shared" ref="F51:Q51" si="34">SUM(F48:F49)</f>
        <v>0</v>
      </c>
      <c r="G51" s="175">
        <f t="shared" si="34"/>
        <v>0</v>
      </c>
      <c r="H51" s="175">
        <f t="shared" si="34"/>
        <v>0</v>
      </c>
      <c r="I51" s="175">
        <f t="shared" si="34"/>
        <v>0</v>
      </c>
      <c r="J51" s="175">
        <f t="shared" si="34"/>
        <v>0</v>
      </c>
      <c r="K51" s="175">
        <f t="shared" si="34"/>
        <v>0</v>
      </c>
      <c r="L51" s="176">
        <f t="shared" si="34"/>
        <v>0</v>
      </c>
      <c r="M51" s="176">
        <f t="shared" si="34"/>
        <v>0</v>
      </c>
      <c r="N51" s="176">
        <f t="shared" si="34"/>
        <v>0</v>
      </c>
      <c r="O51" s="176">
        <f t="shared" si="34"/>
        <v>0</v>
      </c>
      <c r="P51" s="176">
        <f t="shared" si="34"/>
        <v>0</v>
      </c>
      <c r="Q51" s="177">
        <f t="shared" si="34"/>
        <v>0</v>
      </c>
      <c r="R51" s="178"/>
      <c r="S51" s="179">
        <f>SUM(F51:Q51)</f>
        <v>0</v>
      </c>
      <c r="T51" s="180">
        <f>SUM(T48:T49)</f>
        <v>0</v>
      </c>
      <c r="U51" s="534"/>
      <c r="V51" s="534"/>
      <c r="W51" s="534"/>
      <c r="X51" s="534"/>
    </row>
    <row r="52" spans="1:24" ht="15" customHeight="1" thickTop="1" thickBot="1">
      <c r="A52" s="82"/>
      <c r="B52" s="181" t="s">
        <v>943</v>
      </c>
      <c r="C52" s="581"/>
      <c r="D52" s="581"/>
      <c r="E52" s="582" t="s">
        <v>917</v>
      </c>
      <c r="F52" s="182">
        <f t="shared" ref="F52:Q52" si="35">IF($S$51=0,0,F51/$S$51)</f>
        <v>0</v>
      </c>
      <c r="G52" s="182">
        <f t="shared" si="35"/>
        <v>0</v>
      </c>
      <c r="H52" s="182">
        <f t="shared" si="35"/>
        <v>0</v>
      </c>
      <c r="I52" s="182">
        <f t="shared" si="35"/>
        <v>0</v>
      </c>
      <c r="J52" s="182">
        <f t="shared" si="35"/>
        <v>0</v>
      </c>
      <c r="K52" s="182">
        <f t="shared" si="35"/>
        <v>0</v>
      </c>
      <c r="L52" s="182">
        <f t="shared" si="35"/>
        <v>0</v>
      </c>
      <c r="M52" s="182">
        <f t="shared" si="35"/>
        <v>0</v>
      </c>
      <c r="N52" s="182">
        <f t="shared" si="35"/>
        <v>0</v>
      </c>
      <c r="O52" s="182">
        <f t="shared" si="35"/>
        <v>0</v>
      </c>
      <c r="P52" s="182">
        <f t="shared" si="35"/>
        <v>0</v>
      </c>
      <c r="Q52" s="183">
        <f t="shared" si="35"/>
        <v>0</v>
      </c>
      <c r="R52" s="184"/>
      <c r="S52" s="179">
        <f>S48+S49</f>
        <v>0</v>
      </c>
      <c r="T52" s="185">
        <f>SUM(F52:Q52)</f>
        <v>0</v>
      </c>
      <c r="U52" s="534"/>
      <c r="V52" s="534"/>
      <c r="W52" s="534"/>
      <c r="X52" s="534"/>
    </row>
    <row r="53" spans="1:24" ht="15" customHeight="1" thickTop="1" thickBot="1">
      <c r="A53" s="82"/>
      <c r="B53" s="186" t="s">
        <v>944</v>
      </c>
      <c r="C53" s="583"/>
      <c r="D53" s="583"/>
      <c r="E53" s="584" t="s">
        <v>917</v>
      </c>
      <c r="F53" s="187">
        <f>F52</f>
        <v>0</v>
      </c>
      <c r="G53" s="187">
        <f t="shared" ref="G53:H53" si="36">IF(G51=0,0,F53+G52)</f>
        <v>0</v>
      </c>
      <c r="H53" s="187">
        <f t="shared" si="36"/>
        <v>0</v>
      </c>
      <c r="I53" s="187">
        <f>IF(I51=0,0,H53+I52)</f>
        <v>0</v>
      </c>
      <c r="J53" s="187">
        <f t="shared" ref="J53:Q53" si="37">IF(J51=0,0,I53+J52)</f>
        <v>0</v>
      </c>
      <c r="K53" s="187">
        <f t="shared" si="37"/>
        <v>0</v>
      </c>
      <c r="L53" s="187">
        <f t="shared" si="37"/>
        <v>0</v>
      </c>
      <c r="M53" s="187">
        <f t="shared" si="37"/>
        <v>0</v>
      </c>
      <c r="N53" s="187">
        <f t="shared" si="37"/>
        <v>0</v>
      </c>
      <c r="O53" s="187">
        <f t="shared" si="37"/>
        <v>0</v>
      </c>
      <c r="P53" s="187">
        <f t="shared" si="37"/>
        <v>0</v>
      </c>
      <c r="Q53" s="188">
        <f t="shared" si="37"/>
        <v>0</v>
      </c>
      <c r="R53" s="189"/>
      <c r="S53" s="190" t="str">
        <f>IF(S51=S52,"OK","CORRIGIR")</f>
        <v>OK</v>
      </c>
      <c r="T53" s="191" t="str">
        <f>IF(T51=T52,"OK","CORRIGIR")</f>
        <v>OK</v>
      </c>
      <c r="U53" s="534"/>
      <c r="V53" s="534"/>
      <c r="W53" s="534"/>
      <c r="X53" s="534"/>
    </row>
    <row r="54" spans="1:24" ht="15" customHeight="1">
      <c r="A54" s="82"/>
      <c r="B54" s="192" t="s">
        <v>945</v>
      </c>
      <c r="C54" s="193"/>
      <c r="D54" s="194"/>
      <c r="E54" s="195"/>
      <c r="F54" s="193" t="s">
        <v>946</v>
      </c>
      <c r="G54" s="196"/>
      <c r="H54" s="196"/>
      <c r="I54" s="197"/>
      <c r="J54" s="198" t="s">
        <v>947</v>
      </c>
      <c r="K54" s="199"/>
      <c r="L54" s="199"/>
      <c r="M54" s="200"/>
      <c r="N54" s="201" t="s">
        <v>946</v>
      </c>
      <c r="O54" s="202"/>
      <c r="P54" s="203"/>
      <c r="Q54" s="193" t="s">
        <v>948</v>
      </c>
      <c r="R54" s="585"/>
      <c r="S54" s="585"/>
      <c r="T54" s="586"/>
      <c r="U54" s="534"/>
      <c r="V54" s="534"/>
      <c r="W54" s="534"/>
      <c r="X54" s="534"/>
    </row>
    <row r="55" spans="1:24" ht="19.5" customHeight="1" thickBot="1">
      <c r="A55" s="82"/>
      <c r="B55" s="587"/>
      <c r="C55" s="588"/>
      <c r="D55" s="589"/>
      <c r="E55" s="590"/>
      <c r="F55" s="590"/>
      <c r="G55" s="591" t="s">
        <v>949</v>
      </c>
      <c r="H55" s="590"/>
      <c r="I55" s="592"/>
      <c r="J55" s="593"/>
      <c r="K55" s="594"/>
      <c r="L55" s="595"/>
      <c r="M55" s="596"/>
      <c r="N55" s="597"/>
      <c r="O55" s="598" t="s">
        <v>950</v>
      </c>
      <c r="P55" s="599"/>
      <c r="Q55" s="600"/>
      <c r="R55" s="204"/>
      <c r="S55" s="204"/>
      <c r="T55" s="601"/>
      <c r="U55" s="534"/>
      <c r="V55" s="534"/>
      <c r="W55" s="534"/>
      <c r="X55" s="534"/>
    </row>
  </sheetData>
  <pageMargins left="0.78740157480314965" right="0.78740157480314965" top="0.78740157480314965" bottom="0.78740157480314965" header="0.51181102362204722" footer="0.51181102362204722"/>
  <pageSetup paperSize="8" fitToHeight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55"/>
  <sheetViews>
    <sheetView showZeros="0" topLeftCell="C1" workbookViewId="0">
      <selection activeCell="D10" sqref="D10"/>
    </sheetView>
  </sheetViews>
  <sheetFormatPr defaultColWidth="10.6640625" defaultRowHeight="12.75"/>
  <cols>
    <col min="1" max="1" width="5" style="31" hidden="1" customWidth="1"/>
    <col min="2" max="2" width="13.1640625" style="31" customWidth="1"/>
    <col min="3" max="3" width="26.1640625" style="31" customWidth="1"/>
    <col min="4" max="4" width="17.6640625" style="31" customWidth="1"/>
    <col min="5" max="5" width="3.83203125" style="31" customWidth="1"/>
    <col min="6" max="15" width="12.5" style="31" customWidth="1"/>
    <col min="16" max="17" width="13.83203125" style="31" customWidth="1"/>
    <col min="18" max="18" width="8.33203125" style="31" bestFit="1" customWidth="1"/>
    <col min="19" max="19" width="14" style="31" customWidth="1"/>
    <col min="20" max="20" width="9.5" style="31" bestFit="1" customWidth="1"/>
    <col min="21" max="22" width="0.6640625" style="31" customWidth="1"/>
    <col min="23" max="259" width="10.6640625" style="31"/>
    <col min="260" max="260" width="13.1640625" style="31" customWidth="1"/>
    <col min="261" max="261" width="79" style="31" customWidth="1"/>
    <col min="262" max="262" width="3.83203125" style="31" customWidth="1"/>
    <col min="263" max="275" width="12.5" style="31" customWidth="1"/>
    <col min="276" max="276" width="8.5" style="31" customWidth="1"/>
    <col min="277" max="515" width="10.6640625" style="31"/>
    <col min="516" max="516" width="13.1640625" style="31" customWidth="1"/>
    <col min="517" max="517" width="79" style="31" customWidth="1"/>
    <col min="518" max="518" width="3.83203125" style="31" customWidth="1"/>
    <col min="519" max="531" width="12.5" style="31" customWidth="1"/>
    <col min="532" max="532" width="8.5" style="31" customWidth="1"/>
    <col min="533" max="771" width="10.6640625" style="31"/>
    <col min="772" max="772" width="13.1640625" style="31" customWidth="1"/>
    <col min="773" max="773" width="79" style="31" customWidth="1"/>
    <col min="774" max="774" width="3.83203125" style="31" customWidth="1"/>
    <col min="775" max="787" width="12.5" style="31" customWidth="1"/>
    <col min="788" max="788" width="8.5" style="31" customWidth="1"/>
    <col min="789" max="1027" width="10.6640625" style="31"/>
    <col min="1028" max="1028" width="13.1640625" style="31" customWidth="1"/>
    <col min="1029" max="1029" width="79" style="31" customWidth="1"/>
    <col min="1030" max="1030" width="3.83203125" style="31" customWidth="1"/>
    <col min="1031" max="1043" width="12.5" style="31" customWidth="1"/>
    <col min="1044" max="1044" width="8.5" style="31" customWidth="1"/>
    <col min="1045" max="1283" width="10.6640625" style="31"/>
    <col min="1284" max="1284" width="13.1640625" style="31" customWidth="1"/>
    <col min="1285" max="1285" width="79" style="31" customWidth="1"/>
    <col min="1286" max="1286" width="3.83203125" style="31" customWidth="1"/>
    <col min="1287" max="1299" width="12.5" style="31" customWidth="1"/>
    <col min="1300" max="1300" width="8.5" style="31" customWidth="1"/>
    <col min="1301" max="1539" width="10.6640625" style="31"/>
    <col min="1540" max="1540" width="13.1640625" style="31" customWidth="1"/>
    <col min="1541" max="1541" width="79" style="31" customWidth="1"/>
    <col min="1542" max="1542" width="3.83203125" style="31" customWidth="1"/>
    <col min="1543" max="1555" width="12.5" style="31" customWidth="1"/>
    <col min="1556" max="1556" width="8.5" style="31" customWidth="1"/>
    <col min="1557" max="1795" width="10.6640625" style="31"/>
    <col min="1796" max="1796" width="13.1640625" style="31" customWidth="1"/>
    <col min="1797" max="1797" width="79" style="31" customWidth="1"/>
    <col min="1798" max="1798" width="3.83203125" style="31" customWidth="1"/>
    <col min="1799" max="1811" width="12.5" style="31" customWidth="1"/>
    <col min="1812" max="1812" width="8.5" style="31" customWidth="1"/>
    <col min="1813" max="2051" width="10.6640625" style="31"/>
    <col min="2052" max="2052" width="13.1640625" style="31" customWidth="1"/>
    <col min="2053" max="2053" width="79" style="31" customWidth="1"/>
    <col min="2054" max="2054" width="3.83203125" style="31" customWidth="1"/>
    <col min="2055" max="2067" width="12.5" style="31" customWidth="1"/>
    <col min="2068" max="2068" width="8.5" style="31" customWidth="1"/>
    <col min="2069" max="2307" width="10.6640625" style="31"/>
    <col min="2308" max="2308" width="13.1640625" style="31" customWidth="1"/>
    <col min="2309" max="2309" width="79" style="31" customWidth="1"/>
    <col min="2310" max="2310" width="3.83203125" style="31" customWidth="1"/>
    <col min="2311" max="2323" width="12.5" style="31" customWidth="1"/>
    <col min="2324" max="2324" width="8.5" style="31" customWidth="1"/>
    <col min="2325" max="2563" width="10.6640625" style="31"/>
    <col min="2564" max="2564" width="13.1640625" style="31" customWidth="1"/>
    <col min="2565" max="2565" width="79" style="31" customWidth="1"/>
    <col min="2566" max="2566" width="3.83203125" style="31" customWidth="1"/>
    <col min="2567" max="2579" width="12.5" style="31" customWidth="1"/>
    <col min="2580" max="2580" width="8.5" style="31" customWidth="1"/>
    <col min="2581" max="2819" width="10.6640625" style="31"/>
    <col min="2820" max="2820" width="13.1640625" style="31" customWidth="1"/>
    <col min="2821" max="2821" width="79" style="31" customWidth="1"/>
    <col min="2822" max="2822" width="3.83203125" style="31" customWidth="1"/>
    <col min="2823" max="2835" width="12.5" style="31" customWidth="1"/>
    <col min="2836" max="2836" width="8.5" style="31" customWidth="1"/>
    <col min="2837" max="3075" width="10.6640625" style="31"/>
    <col min="3076" max="3076" width="13.1640625" style="31" customWidth="1"/>
    <col min="3077" max="3077" width="79" style="31" customWidth="1"/>
    <col min="3078" max="3078" width="3.83203125" style="31" customWidth="1"/>
    <col min="3079" max="3091" width="12.5" style="31" customWidth="1"/>
    <col min="3092" max="3092" width="8.5" style="31" customWidth="1"/>
    <col min="3093" max="3331" width="10.6640625" style="31"/>
    <col min="3332" max="3332" width="13.1640625" style="31" customWidth="1"/>
    <col min="3333" max="3333" width="79" style="31" customWidth="1"/>
    <col min="3334" max="3334" width="3.83203125" style="31" customWidth="1"/>
    <col min="3335" max="3347" width="12.5" style="31" customWidth="1"/>
    <col min="3348" max="3348" width="8.5" style="31" customWidth="1"/>
    <col min="3349" max="3587" width="10.6640625" style="31"/>
    <col min="3588" max="3588" width="13.1640625" style="31" customWidth="1"/>
    <col min="3589" max="3589" width="79" style="31" customWidth="1"/>
    <col min="3590" max="3590" width="3.83203125" style="31" customWidth="1"/>
    <col min="3591" max="3603" width="12.5" style="31" customWidth="1"/>
    <col min="3604" max="3604" width="8.5" style="31" customWidth="1"/>
    <col min="3605" max="3843" width="10.6640625" style="31"/>
    <col min="3844" max="3844" width="13.1640625" style="31" customWidth="1"/>
    <col min="3845" max="3845" width="79" style="31" customWidth="1"/>
    <col min="3846" max="3846" width="3.83203125" style="31" customWidth="1"/>
    <col min="3847" max="3859" width="12.5" style="31" customWidth="1"/>
    <col min="3860" max="3860" width="8.5" style="31" customWidth="1"/>
    <col min="3861" max="4099" width="10.6640625" style="31"/>
    <col min="4100" max="4100" width="13.1640625" style="31" customWidth="1"/>
    <col min="4101" max="4101" width="79" style="31" customWidth="1"/>
    <col min="4102" max="4102" width="3.83203125" style="31" customWidth="1"/>
    <col min="4103" max="4115" width="12.5" style="31" customWidth="1"/>
    <col min="4116" max="4116" width="8.5" style="31" customWidth="1"/>
    <col min="4117" max="4355" width="10.6640625" style="31"/>
    <col min="4356" max="4356" width="13.1640625" style="31" customWidth="1"/>
    <col min="4357" max="4357" width="79" style="31" customWidth="1"/>
    <col min="4358" max="4358" width="3.83203125" style="31" customWidth="1"/>
    <col min="4359" max="4371" width="12.5" style="31" customWidth="1"/>
    <col min="4372" max="4372" width="8.5" style="31" customWidth="1"/>
    <col min="4373" max="4611" width="10.6640625" style="31"/>
    <col min="4612" max="4612" width="13.1640625" style="31" customWidth="1"/>
    <col min="4613" max="4613" width="79" style="31" customWidth="1"/>
    <col min="4614" max="4614" width="3.83203125" style="31" customWidth="1"/>
    <col min="4615" max="4627" width="12.5" style="31" customWidth="1"/>
    <col min="4628" max="4628" width="8.5" style="31" customWidth="1"/>
    <col min="4629" max="4867" width="10.6640625" style="31"/>
    <col min="4868" max="4868" width="13.1640625" style="31" customWidth="1"/>
    <col min="4869" max="4869" width="79" style="31" customWidth="1"/>
    <col min="4870" max="4870" width="3.83203125" style="31" customWidth="1"/>
    <col min="4871" max="4883" width="12.5" style="31" customWidth="1"/>
    <col min="4884" max="4884" width="8.5" style="31" customWidth="1"/>
    <col min="4885" max="5123" width="10.6640625" style="31"/>
    <col min="5124" max="5124" width="13.1640625" style="31" customWidth="1"/>
    <col min="5125" max="5125" width="79" style="31" customWidth="1"/>
    <col min="5126" max="5126" width="3.83203125" style="31" customWidth="1"/>
    <col min="5127" max="5139" width="12.5" style="31" customWidth="1"/>
    <col min="5140" max="5140" width="8.5" style="31" customWidth="1"/>
    <col min="5141" max="5379" width="10.6640625" style="31"/>
    <col min="5380" max="5380" width="13.1640625" style="31" customWidth="1"/>
    <col min="5381" max="5381" width="79" style="31" customWidth="1"/>
    <col min="5382" max="5382" width="3.83203125" style="31" customWidth="1"/>
    <col min="5383" max="5395" width="12.5" style="31" customWidth="1"/>
    <col min="5396" max="5396" width="8.5" style="31" customWidth="1"/>
    <col min="5397" max="5635" width="10.6640625" style="31"/>
    <col min="5636" max="5636" width="13.1640625" style="31" customWidth="1"/>
    <col min="5637" max="5637" width="79" style="31" customWidth="1"/>
    <col min="5638" max="5638" width="3.83203125" style="31" customWidth="1"/>
    <col min="5639" max="5651" width="12.5" style="31" customWidth="1"/>
    <col min="5652" max="5652" width="8.5" style="31" customWidth="1"/>
    <col min="5653" max="5891" width="10.6640625" style="31"/>
    <col min="5892" max="5892" width="13.1640625" style="31" customWidth="1"/>
    <col min="5893" max="5893" width="79" style="31" customWidth="1"/>
    <col min="5894" max="5894" width="3.83203125" style="31" customWidth="1"/>
    <col min="5895" max="5907" width="12.5" style="31" customWidth="1"/>
    <col min="5908" max="5908" width="8.5" style="31" customWidth="1"/>
    <col min="5909" max="6147" width="10.6640625" style="31"/>
    <col min="6148" max="6148" width="13.1640625" style="31" customWidth="1"/>
    <col min="6149" max="6149" width="79" style="31" customWidth="1"/>
    <col min="6150" max="6150" width="3.83203125" style="31" customWidth="1"/>
    <col min="6151" max="6163" width="12.5" style="31" customWidth="1"/>
    <col min="6164" max="6164" width="8.5" style="31" customWidth="1"/>
    <col min="6165" max="6403" width="10.6640625" style="31"/>
    <col min="6404" max="6404" width="13.1640625" style="31" customWidth="1"/>
    <col min="6405" max="6405" width="79" style="31" customWidth="1"/>
    <col min="6406" max="6406" width="3.83203125" style="31" customWidth="1"/>
    <col min="6407" max="6419" width="12.5" style="31" customWidth="1"/>
    <col min="6420" max="6420" width="8.5" style="31" customWidth="1"/>
    <col min="6421" max="6659" width="10.6640625" style="31"/>
    <col min="6660" max="6660" width="13.1640625" style="31" customWidth="1"/>
    <col min="6661" max="6661" width="79" style="31" customWidth="1"/>
    <col min="6662" max="6662" width="3.83203125" style="31" customWidth="1"/>
    <col min="6663" max="6675" width="12.5" style="31" customWidth="1"/>
    <col min="6676" max="6676" width="8.5" style="31" customWidth="1"/>
    <col min="6677" max="6915" width="10.6640625" style="31"/>
    <col min="6916" max="6916" width="13.1640625" style="31" customWidth="1"/>
    <col min="6917" max="6917" width="79" style="31" customWidth="1"/>
    <col min="6918" max="6918" width="3.83203125" style="31" customWidth="1"/>
    <col min="6919" max="6931" width="12.5" style="31" customWidth="1"/>
    <col min="6932" max="6932" width="8.5" style="31" customWidth="1"/>
    <col min="6933" max="7171" width="10.6640625" style="31"/>
    <col min="7172" max="7172" width="13.1640625" style="31" customWidth="1"/>
    <col min="7173" max="7173" width="79" style="31" customWidth="1"/>
    <col min="7174" max="7174" width="3.83203125" style="31" customWidth="1"/>
    <col min="7175" max="7187" width="12.5" style="31" customWidth="1"/>
    <col min="7188" max="7188" width="8.5" style="31" customWidth="1"/>
    <col min="7189" max="7427" width="10.6640625" style="31"/>
    <col min="7428" max="7428" width="13.1640625" style="31" customWidth="1"/>
    <col min="7429" max="7429" width="79" style="31" customWidth="1"/>
    <col min="7430" max="7430" width="3.83203125" style="31" customWidth="1"/>
    <col min="7431" max="7443" width="12.5" style="31" customWidth="1"/>
    <col min="7444" max="7444" width="8.5" style="31" customWidth="1"/>
    <col min="7445" max="7683" width="10.6640625" style="31"/>
    <col min="7684" max="7684" width="13.1640625" style="31" customWidth="1"/>
    <col min="7685" max="7685" width="79" style="31" customWidth="1"/>
    <col min="7686" max="7686" width="3.83203125" style="31" customWidth="1"/>
    <col min="7687" max="7699" width="12.5" style="31" customWidth="1"/>
    <col min="7700" max="7700" width="8.5" style="31" customWidth="1"/>
    <col min="7701" max="7939" width="10.6640625" style="31"/>
    <col min="7940" max="7940" width="13.1640625" style="31" customWidth="1"/>
    <col min="7941" max="7941" width="79" style="31" customWidth="1"/>
    <col min="7942" max="7942" width="3.83203125" style="31" customWidth="1"/>
    <col min="7943" max="7955" width="12.5" style="31" customWidth="1"/>
    <col min="7956" max="7956" width="8.5" style="31" customWidth="1"/>
    <col min="7957" max="8195" width="10.6640625" style="31"/>
    <col min="8196" max="8196" width="13.1640625" style="31" customWidth="1"/>
    <col min="8197" max="8197" width="79" style="31" customWidth="1"/>
    <col min="8198" max="8198" width="3.83203125" style="31" customWidth="1"/>
    <col min="8199" max="8211" width="12.5" style="31" customWidth="1"/>
    <col min="8212" max="8212" width="8.5" style="31" customWidth="1"/>
    <col min="8213" max="8451" width="10.6640625" style="31"/>
    <col min="8452" max="8452" width="13.1640625" style="31" customWidth="1"/>
    <col min="8453" max="8453" width="79" style="31" customWidth="1"/>
    <col min="8454" max="8454" width="3.83203125" style="31" customWidth="1"/>
    <col min="8455" max="8467" width="12.5" style="31" customWidth="1"/>
    <col min="8468" max="8468" width="8.5" style="31" customWidth="1"/>
    <col min="8469" max="8707" width="10.6640625" style="31"/>
    <col min="8708" max="8708" width="13.1640625" style="31" customWidth="1"/>
    <col min="8709" max="8709" width="79" style="31" customWidth="1"/>
    <col min="8710" max="8710" width="3.83203125" style="31" customWidth="1"/>
    <col min="8711" max="8723" width="12.5" style="31" customWidth="1"/>
    <col min="8724" max="8724" width="8.5" style="31" customWidth="1"/>
    <col min="8725" max="8963" width="10.6640625" style="31"/>
    <col min="8964" max="8964" width="13.1640625" style="31" customWidth="1"/>
    <col min="8965" max="8965" width="79" style="31" customWidth="1"/>
    <col min="8966" max="8966" width="3.83203125" style="31" customWidth="1"/>
    <col min="8967" max="8979" width="12.5" style="31" customWidth="1"/>
    <col min="8980" max="8980" width="8.5" style="31" customWidth="1"/>
    <col min="8981" max="9219" width="10.6640625" style="31"/>
    <col min="9220" max="9220" width="13.1640625" style="31" customWidth="1"/>
    <col min="9221" max="9221" width="79" style="31" customWidth="1"/>
    <col min="9222" max="9222" width="3.83203125" style="31" customWidth="1"/>
    <col min="9223" max="9235" width="12.5" style="31" customWidth="1"/>
    <col min="9236" max="9236" width="8.5" style="31" customWidth="1"/>
    <col min="9237" max="9475" width="10.6640625" style="31"/>
    <col min="9476" max="9476" width="13.1640625" style="31" customWidth="1"/>
    <col min="9477" max="9477" width="79" style="31" customWidth="1"/>
    <col min="9478" max="9478" width="3.83203125" style="31" customWidth="1"/>
    <col min="9479" max="9491" width="12.5" style="31" customWidth="1"/>
    <col min="9492" max="9492" width="8.5" style="31" customWidth="1"/>
    <col min="9493" max="9731" width="10.6640625" style="31"/>
    <col min="9732" max="9732" width="13.1640625" style="31" customWidth="1"/>
    <col min="9733" max="9733" width="79" style="31" customWidth="1"/>
    <col min="9734" max="9734" width="3.83203125" style="31" customWidth="1"/>
    <col min="9735" max="9747" width="12.5" style="31" customWidth="1"/>
    <col min="9748" max="9748" width="8.5" style="31" customWidth="1"/>
    <col min="9749" max="9987" width="10.6640625" style="31"/>
    <col min="9988" max="9988" width="13.1640625" style="31" customWidth="1"/>
    <col min="9989" max="9989" width="79" style="31" customWidth="1"/>
    <col min="9990" max="9990" width="3.83203125" style="31" customWidth="1"/>
    <col min="9991" max="10003" width="12.5" style="31" customWidth="1"/>
    <col min="10004" max="10004" width="8.5" style="31" customWidth="1"/>
    <col min="10005" max="10243" width="10.6640625" style="31"/>
    <col min="10244" max="10244" width="13.1640625" style="31" customWidth="1"/>
    <col min="10245" max="10245" width="79" style="31" customWidth="1"/>
    <col min="10246" max="10246" width="3.83203125" style="31" customWidth="1"/>
    <col min="10247" max="10259" width="12.5" style="31" customWidth="1"/>
    <col min="10260" max="10260" width="8.5" style="31" customWidth="1"/>
    <col min="10261" max="10499" width="10.6640625" style="31"/>
    <col min="10500" max="10500" width="13.1640625" style="31" customWidth="1"/>
    <col min="10501" max="10501" width="79" style="31" customWidth="1"/>
    <col min="10502" max="10502" width="3.83203125" style="31" customWidth="1"/>
    <col min="10503" max="10515" width="12.5" style="31" customWidth="1"/>
    <col min="10516" max="10516" width="8.5" style="31" customWidth="1"/>
    <col min="10517" max="10755" width="10.6640625" style="31"/>
    <col min="10756" max="10756" width="13.1640625" style="31" customWidth="1"/>
    <col min="10757" max="10757" width="79" style="31" customWidth="1"/>
    <col min="10758" max="10758" width="3.83203125" style="31" customWidth="1"/>
    <col min="10759" max="10771" width="12.5" style="31" customWidth="1"/>
    <col min="10772" max="10772" width="8.5" style="31" customWidth="1"/>
    <col min="10773" max="11011" width="10.6640625" style="31"/>
    <col min="11012" max="11012" width="13.1640625" style="31" customWidth="1"/>
    <col min="11013" max="11013" width="79" style="31" customWidth="1"/>
    <col min="11014" max="11014" width="3.83203125" style="31" customWidth="1"/>
    <col min="11015" max="11027" width="12.5" style="31" customWidth="1"/>
    <col min="11028" max="11028" width="8.5" style="31" customWidth="1"/>
    <col min="11029" max="11267" width="10.6640625" style="31"/>
    <col min="11268" max="11268" width="13.1640625" style="31" customWidth="1"/>
    <col min="11269" max="11269" width="79" style="31" customWidth="1"/>
    <col min="11270" max="11270" width="3.83203125" style="31" customWidth="1"/>
    <col min="11271" max="11283" width="12.5" style="31" customWidth="1"/>
    <col min="11284" max="11284" width="8.5" style="31" customWidth="1"/>
    <col min="11285" max="11523" width="10.6640625" style="31"/>
    <col min="11524" max="11524" width="13.1640625" style="31" customWidth="1"/>
    <col min="11525" max="11525" width="79" style="31" customWidth="1"/>
    <col min="11526" max="11526" width="3.83203125" style="31" customWidth="1"/>
    <col min="11527" max="11539" width="12.5" style="31" customWidth="1"/>
    <col min="11540" max="11540" width="8.5" style="31" customWidth="1"/>
    <col min="11541" max="11779" width="10.6640625" style="31"/>
    <col min="11780" max="11780" width="13.1640625" style="31" customWidth="1"/>
    <col min="11781" max="11781" width="79" style="31" customWidth="1"/>
    <col min="11782" max="11782" width="3.83203125" style="31" customWidth="1"/>
    <col min="11783" max="11795" width="12.5" style="31" customWidth="1"/>
    <col min="11796" max="11796" width="8.5" style="31" customWidth="1"/>
    <col min="11797" max="12035" width="10.6640625" style="31"/>
    <col min="12036" max="12036" width="13.1640625" style="31" customWidth="1"/>
    <col min="12037" max="12037" width="79" style="31" customWidth="1"/>
    <col min="12038" max="12038" width="3.83203125" style="31" customWidth="1"/>
    <col min="12039" max="12051" width="12.5" style="31" customWidth="1"/>
    <col min="12052" max="12052" width="8.5" style="31" customWidth="1"/>
    <col min="12053" max="12291" width="10.6640625" style="31"/>
    <col min="12292" max="12292" width="13.1640625" style="31" customWidth="1"/>
    <col min="12293" max="12293" width="79" style="31" customWidth="1"/>
    <col min="12294" max="12294" width="3.83203125" style="31" customWidth="1"/>
    <col min="12295" max="12307" width="12.5" style="31" customWidth="1"/>
    <col min="12308" max="12308" width="8.5" style="31" customWidth="1"/>
    <col min="12309" max="12547" width="10.6640625" style="31"/>
    <col min="12548" max="12548" width="13.1640625" style="31" customWidth="1"/>
    <col min="12549" max="12549" width="79" style="31" customWidth="1"/>
    <col min="12550" max="12550" width="3.83203125" style="31" customWidth="1"/>
    <col min="12551" max="12563" width="12.5" style="31" customWidth="1"/>
    <col min="12564" max="12564" width="8.5" style="31" customWidth="1"/>
    <col min="12565" max="12803" width="10.6640625" style="31"/>
    <col min="12804" max="12804" width="13.1640625" style="31" customWidth="1"/>
    <col min="12805" max="12805" width="79" style="31" customWidth="1"/>
    <col min="12806" max="12806" width="3.83203125" style="31" customWidth="1"/>
    <col min="12807" max="12819" width="12.5" style="31" customWidth="1"/>
    <col min="12820" max="12820" width="8.5" style="31" customWidth="1"/>
    <col min="12821" max="13059" width="10.6640625" style="31"/>
    <col min="13060" max="13060" width="13.1640625" style="31" customWidth="1"/>
    <col min="13061" max="13061" width="79" style="31" customWidth="1"/>
    <col min="13062" max="13062" width="3.83203125" style="31" customWidth="1"/>
    <col min="13063" max="13075" width="12.5" style="31" customWidth="1"/>
    <col min="13076" max="13076" width="8.5" style="31" customWidth="1"/>
    <col min="13077" max="13315" width="10.6640625" style="31"/>
    <col min="13316" max="13316" width="13.1640625" style="31" customWidth="1"/>
    <col min="13317" max="13317" width="79" style="31" customWidth="1"/>
    <col min="13318" max="13318" width="3.83203125" style="31" customWidth="1"/>
    <col min="13319" max="13331" width="12.5" style="31" customWidth="1"/>
    <col min="13332" max="13332" width="8.5" style="31" customWidth="1"/>
    <col min="13333" max="13571" width="10.6640625" style="31"/>
    <col min="13572" max="13572" width="13.1640625" style="31" customWidth="1"/>
    <col min="13573" max="13573" width="79" style="31" customWidth="1"/>
    <col min="13574" max="13574" width="3.83203125" style="31" customWidth="1"/>
    <col min="13575" max="13587" width="12.5" style="31" customWidth="1"/>
    <col min="13588" max="13588" width="8.5" style="31" customWidth="1"/>
    <col min="13589" max="13827" width="10.6640625" style="31"/>
    <col min="13828" max="13828" width="13.1640625" style="31" customWidth="1"/>
    <col min="13829" max="13829" width="79" style="31" customWidth="1"/>
    <col min="13830" max="13830" width="3.83203125" style="31" customWidth="1"/>
    <col min="13831" max="13843" width="12.5" style="31" customWidth="1"/>
    <col min="13844" max="13844" width="8.5" style="31" customWidth="1"/>
    <col min="13845" max="14083" width="10.6640625" style="31"/>
    <col min="14084" max="14084" width="13.1640625" style="31" customWidth="1"/>
    <col min="14085" max="14085" width="79" style="31" customWidth="1"/>
    <col min="14086" max="14086" width="3.83203125" style="31" customWidth="1"/>
    <col min="14087" max="14099" width="12.5" style="31" customWidth="1"/>
    <col min="14100" max="14100" width="8.5" style="31" customWidth="1"/>
    <col min="14101" max="14339" width="10.6640625" style="31"/>
    <col min="14340" max="14340" width="13.1640625" style="31" customWidth="1"/>
    <col min="14341" max="14341" width="79" style="31" customWidth="1"/>
    <col min="14342" max="14342" width="3.83203125" style="31" customWidth="1"/>
    <col min="14343" max="14355" width="12.5" style="31" customWidth="1"/>
    <col min="14356" max="14356" width="8.5" style="31" customWidth="1"/>
    <col min="14357" max="14595" width="10.6640625" style="31"/>
    <col min="14596" max="14596" width="13.1640625" style="31" customWidth="1"/>
    <col min="14597" max="14597" width="79" style="31" customWidth="1"/>
    <col min="14598" max="14598" width="3.83203125" style="31" customWidth="1"/>
    <col min="14599" max="14611" width="12.5" style="31" customWidth="1"/>
    <col min="14612" max="14612" width="8.5" style="31" customWidth="1"/>
    <col min="14613" max="14851" width="10.6640625" style="31"/>
    <col min="14852" max="14852" width="13.1640625" style="31" customWidth="1"/>
    <col min="14853" max="14853" width="79" style="31" customWidth="1"/>
    <col min="14854" max="14854" width="3.83203125" style="31" customWidth="1"/>
    <col min="14855" max="14867" width="12.5" style="31" customWidth="1"/>
    <col min="14868" max="14868" width="8.5" style="31" customWidth="1"/>
    <col min="14869" max="15107" width="10.6640625" style="31"/>
    <col min="15108" max="15108" width="13.1640625" style="31" customWidth="1"/>
    <col min="15109" max="15109" width="79" style="31" customWidth="1"/>
    <col min="15110" max="15110" width="3.83203125" style="31" customWidth="1"/>
    <col min="15111" max="15123" width="12.5" style="31" customWidth="1"/>
    <col min="15124" max="15124" width="8.5" style="31" customWidth="1"/>
    <col min="15125" max="15363" width="10.6640625" style="31"/>
    <col min="15364" max="15364" width="13.1640625" style="31" customWidth="1"/>
    <col min="15365" max="15365" width="79" style="31" customWidth="1"/>
    <col min="15366" max="15366" width="3.83203125" style="31" customWidth="1"/>
    <col min="15367" max="15379" width="12.5" style="31" customWidth="1"/>
    <col min="15380" max="15380" width="8.5" style="31" customWidth="1"/>
    <col min="15381" max="15619" width="10.6640625" style="31"/>
    <col min="15620" max="15620" width="13.1640625" style="31" customWidth="1"/>
    <col min="15621" max="15621" width="79" style="31" customWidth="1"/>
    <col min="15622" max="15622" width="3.83203125" style="31" customWidth="1"/>
    <col min="15623" max="15635" width="12.5" style="31" customWidth="1"/>
    <col min="15636" max="15636" width="8.5" style="31" customWidth="1"/>
    <col min="15637" max="15875" width="10.6640625" style="31"/>
    <col min="15876" max="15876" width="13.1640625" style="31" customWidth="1"/>
    <col min="15877" max="15877" width="79" style="31" customWidth="1"/>
    <col min="15878" max="15878" width="3.83203125" style="31" customWidth="1"/>
    <col min="15879" max="15891" width="12.5" style="31" customWidth="1"/>
    <col min="15892" max="15892" width="8.5" style="31" customWidth="1"/>
    <col min="15893" max="16131" width="10.6640625" style="31"/>
    <col min="16132" max="16132" width="13.1640625" style="31" customWidth="1"/>
    <col min="16133" max="16133" width="79" style="31" customWidth="1"/>
    <col min="16134" max="16134" width="3.83203125" style="31" customWidth="1"/>
    <col min="16135" max="16147" width="12.5" style="31" customWidth="1"/>
    <col min="16148" max="16148" width="8.5" style="31" customWidth="1"/>
    <col min="16149" max="16384" width="10.6640625" style="31"/>
  </cols>
  <sheetData>
    <row r="1" spans="1:24" ht="26.25">
      <c r="A1" s="82"/>
      <c r="B1" s="83" t="s">
        <v>2085</v>
      </c>
      <c r="C1" s="529" t="s">
        <v>890</v>
      </c>
      <c r="D1" s="529"/>
      <c r="E1" s="84"/>
      <c r="F1" s="530"/>
      <c r="G1" s="530"/>
      <c r="H1" s="531"/>
      <c r="I1" s="531"/>
      <c r="J1" s="531"/>
      <c r="K1" s="85" t="s">
        <v>842</v>
      </c>
      <c r="L1" s="531"/>
      <c r="M1" s="531"/>
      <c r="N1" s="532"/>
      <c r="O1" s="532"/>
      <c r="P1" s="531"/>
      <c r="Q1" s="531"/>
      <c r="R1" s="531"/>
      <c r="S1" s="531"/>
      <c r="T1" s="533"/>
      <c r="U1" s="534"/>
      <c r="V1" s="534"/>
      <c r="W1" s="534"/>
      <c r="X1" s="534"/>
    </row>
    <row r="2" spans="1:24">
      <c r="A2" s="82"/>
      <c r="B2" s="86" t="s">
        <v>183</v>
      </c>
      <c r="C2" s="87" t="s">
        <v>2100</v>
      </c>
      <c r="D2" s="88"/>
      <c r="E2" s="88"/>
      <c r="F2" s="89" t="s">
        <v>184</v>
      </c>
      <c r="G2" s="90">
        <v>60</v>
      </c>
      <c r="H2" s="91" t="s">
        <v>891</v>
      </c>
      <c r="I2" s="92"/>
      <c r="J2" s="91" t="s">
        <v>892</v>
      </c>
      <c r="K2" s="92"/>
      <c r="L2" s="91" t="s">
        <v>893</v>
      </c>
      <c r="M2" s="93"/>
      <c r="N2" s="94"/>
      <c r="O2" s="92"/>
      <c r="P2" s="95" t="s">
        <v>894</v>
      </c>
      <c r="Q2" s="96"/>
      <c r="R2" s="96"/>
      <c r="S2" s="97">
        <v>273860.02</v>
      </c>
      <c r="T2" s="98">
        <f>IF(S4=0,0,S2/S4)</f>
        <v>0.59534350802690861</v>
      </c>
      <c r="U2" s="534"/>
      <c r="V2" s="534"/>
      <c r="W2" s="534"/>
      <c r="X2" s="534"/>
    </row>
    <row r="3" spans="1:24" ht="15" customHeight="1" thickBot="1">
      <c r="A3" s="82"/>
      <c r="B3" s="99" t="s">
        <v>854</v>
      </c>
      <c r="C3" s="100" t="s">
        <v>2121</v>
      </c>
      <c r="D3" s="101"/>
      <c r="E3" s="102"/>
      <c r="F3" s="103" t="s">
        <v>185</v>
      </c>
      <c r="G3" s="104">
        <v>1</v>
      </c>
      <c r="H3" s="105" t="s">
        <v>895</v>
      </c>
      <c r="I3" s="106">
        <v>44693</v>
      </c>
      <c r="J3" s="105" t="s">
        <v>896</v>
      </c>
      <c r="K3" s="107">
        <v>70</v>
      </c>
      <c r="L3" s="105" t="s">
        <v>895</v>
      </c>
      <c r="M3" s="108">
        <f>I3+K3+10</f>
        <v>44773</v>
      </c>
      <c r="N3" s="105"/>
      <c r="O3" s="109"/>
      <c r="P3" s="110" t="s">
        <v>897</v>
      </c>
      <c r="Q3" s="111"/>
      <c r="R3" s="112"/>
      <c r="S3" s="113">
        <v>186143.35</v>
      </c>
      <c r="T3" s="114">
        <f>IF(S3=0,0,1-T2)</f>
        <v>0.40465649197309139</v>
      </c>
      <c r="U3" s="534"/>
      <c r="V3" s="534"/>
      <c r="W3" s="534"/>
      <c r="X3" s="534"/>
    </row>
    <row r="4" spans="1:24" ht="18.75" thickBot="1">
      <c r="A4" s="82"/>
      <c r="B4" s="115" t="s">
        <v>898</v>
      </c>
      <c r="C4" s="116"/>
      <c r="D4" s="117"/>
      <c r="E4" s="118" t="s">
        <v>899</v>
      </c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120" t="s">
        <v>900</v>
      </c>
      <c r="Q4" s="121"/>
      <c r="R4" s="121"/>
      <c r="S4" s="122">
        <f>S21</f>
        <v>460003.37</v>
      </c>
      <c r="T4" s="123">
        <f>SUM(T2:T3)</f>
        <v>1</v>
      </c>
      <c r="U4" s="534"/>
      <c r="V4" s="534"/>
      <c r="W4" s="534"/>
      <c r="X4" s="534"/>
    </row>
    <row r="5" spans="1:24" ht="12.75" customHeight="1" thickBot="1">
      <c r="A5" s="82"/>
      <c r="B5" s="535" t="s">
        <v>901</v>
      </c>
      <c r="C5" s="536" t="s">
        <v>902</v>
      </c>
      <c r="D5" s="537"/>
      <c r="E5" s="538" t="s">
        <v>80</v>
      </c>
      <c r="F5" s="539" t="s">
        <v>903</v>
      </c>
      <c r="G5" s="540"/>
      <c r="H5" s="540"/>
      <c r="I5" s="540"/>
      <c r="J5" s="540"/>
      <c r="K5" s="540"/>
      <c r="L5" s="540"/>
      <c r="M5" s="541"/>
      <c r="N5" s="541"/>
      <c r="O5" s="541"/>
      <c r="P5" s="542"/>
      <c r="Q5" s="543"/>
      <c r="R5" s="544"/>
      <c r="S5" s="545" t="s">
        <v>536</v>
      </c>
      <c r="T5" s="546" t="s">
        <v>904</v>
      </c>
      <c r="U5" s="534"/>
      <c r="V5" s="534"/>
      <c r="W5" s="534" t="s">
        <v>905</v>
      </c>
      <c r="X5" s="124" t="str">
        <f>IF(S4=S51,"OK","erro")</f>
        <v>OK</v>
      </c>
    </row>
    <row r="6" spans="1:24" ht="13.5" thickBot="1">
      <c r="A6" s="82"/>
      <c r="B6" s="547" t="s">
        <v>906</v>
      </c>
      <c r="C6" s="548"/>
      <c r="D6" s="549"/>
      <c r="E6" s="125">
        <v>8</v>
      </c>
      <c r="F6" s="550">
        <f>IF(E6=0,0,1)</f>
        <v>1</v>
      </c>
      <c r="G6" s="550">
        <f>IF($E$6&lt;2,0,2)</f>
        <v>2</v>
      </c>
      <c r="H6" s="550">
        <f>IF($E$6&lt;3,0,3)</f>
        <v>3</v>
      </c>
      <c r="I6" s="550">
        <f>IF($E$6&lt;4,0,4)</f>
        <v>4</v>
      </c>
      <c r="J6" s="550">
        <f>IF($E$6&lt;5,0,5)</f>
        <v>5</v>
      </c>
      <c r="K6" s="550">
        <f>IF($E$6&lt;6,0,6)</f>
        <v>6</v>
      </c>
      <c r="L6" s="550">
        <f>IF($E$6&lt;7,0,7)</f>
        <v>7</v>
      </c>
      <c r="M6" s="550">
        <f>IF($E$6&lt;8,0,8)</f>
        <v>8</v>
      </c>
      <c r="N6" s="550">
        <f>IF($E$6&lt;9,0,9)</f>
        <v>0</v>
      </c>
      <c r="O6" s="550">
        <f>IF($E$6&lt;10,0,10)</f>
        <v>0</v>
      </c>
      <c r="P6" s="550">
        <f>IF($E$6&lt;11,0,11)</f>
        <v>0</v>
      </c>
      <c r="Q6" s="551">
        <f>IF($E$6&lt;12,0,12)</f>
        <v>0</v>
      </c>
      <c r="R6" s="552"/>
      <c r="S6" s="553" t="s">
        <v>907</v>
      </c>
      <c r="T6" s="554" t="s">
        <v>536</v>
      </c>
      <c r="U6" s="534"/>
      <c r="V6" s="534"/>
      <c r="W6" s="534"/>
      <c r="X6" s="534"/>
    </row>
    <row r="7" spans="1:24" ht="14.25" thickTop="1" thickBot="1">
      <c r="A7" s="82"/>
      <c r="B7" s="547"/>
      <c r="C7" s="548" t="s">
        <v>908</v>
      </c>
      <c r="D7" s="549"/>
      <c r="E7" s="555"/>
      <c r="F7" s="556">
        <f>IF(E6=0,0,M3)</f>
        <v>44773</v>
      </c>
      <c r="G7" s="556">
        <f>IF(G6=0,0,F8+1)</f>
        <v>44804</v>
      </c>
      <c r="H7" s="556">
        <f>IF(H6=0,0,G8+1)</f>
        <v>44835</v>
      </c>
      <c r="I7" s="556">
        <f>IF(I6=0,0,H8+1)</f>
        <v>44866</v>
      </c>
      <c r="J7" s="556">
        <f>IF(J6=0,0,I8+1)</f>
        <v>44897</v>
      </c>
      <c r="K7" s="556">
        <f t="shared" ref="K7:Q7" si="0">IF(K6=0,0,J8+1)</f>
        <v>44928</v>
      </c>
      <c r="L7" s="556">
        <f t="shared" si="0"/>
        <v>44959</v>
      </c>
      <c r="M7" s="556">
        <f t="shared" si="0"/>
        <v>44990</v>
      </c>
      <c r="N7" s="556">
        <f t="shared" si="0"/>
        <v>0</v>
      </c>
      <c r="O7" s="556">
        <f t="shared" si="0"/>
        <v>0</v>
      </c>
      <c r="P7" s="556">
        <f t="shared" si="0"/>
        <v>0</v>
      </c>
      <c r="Q7" s="557">
        <f t="shared" si="0"/>
        <v>0</v>
      </c>
      <c r="R7" s="558"/>
      <c r="S7" s="553"/>
      <c r="T7" s="554"/>
      <c r="U7" s="534"/>
      <c r="V7" s="534"/>
      <c r="W7" s="534"/>
      <c r="X7" s="534"/>
    </row>
    <row r="8" spans="1:24" ht="14.25" thickTop="1" thickBot="1">
      <c r="A8" s="82"/>
      <c r="B8" s="547"/>
      <c r="C8" s="548" t="s">
        <v>909</v>
      </c>
      <c r="D8" s="549"/>
      <c r="E8" s="555"/>
      <c r="F8" s="556">
        <f>IF(E6=0,0,F7+30)</f>
        <v>44803</v>
      </c>
      <c r="G8" s="556">
        <f t="shared" ref="G8:I8" si="1">IF(G6=0,0,G7+30)</f>
        <v>44834</v>
      </c>
      <c r="H8" s="556">
        <f t="shared" si="1"/>
        <v>44865</v>
      </c>
      <c r="I8" s="556">
        <f t="shared" si="1"/>
        <v>44896</v>
      </c>
      <c r="J8" s="556">
        <f>IF(J6=0,0,J7+30)</f>
        <v>44927</v>
      </c>
      <c r="K8" s="556">
        <f t="shared" ref="K8:Q8" si="2">IF(K6=0,0,K7+30)</f>
        <v>44958</v>
      </c>
      <c r="L8" s="556">
        <f t="shared" si="2"/>
        <v>44989</v>
      </c>
      <c r="M8" s="556">
        <f t="shared" si="2"/>
        <v>45020</v>
      </c>
      <c r="N8" s="556">
        <f t="shared" si="2"/>
        <v>0</v>
      </c>
      <c r="O8" s="556">
        <f t="shared" si="2"/>
        <v>0</v>
      </c>
      <c r="P8" s="556">
        <f t="shared" si="2"/>
        <v>0</v>
      </c>
      <c r="Q8" s="557">
        <f t="shared" si="2"/>
        <v>0</v>
      </c>
      <c r="R8" s="558"/>
      <c r="S8" s="553"/>
      <c r="T8" s="554"/>
      <c r="U8" s="534"/>
      <c r="V8" s="534"/>
      <c r="W8" s="534"/>
      <c r="X8" s="534"/>
    </row>
    <row r="9" spans="1:24" ht="13.5" thickTop="1">
      <c r="A9" s="126" t="str">
        <f>CONCATENATE($E$6,"|",B9)</f>
        <v>8|1</v>
      </c>
      <c r="B9" s="559">
        <v>1</v>
      </c>
      <c r="C9" s="560" t="s">
        <v>494</v>
      </c>
      <c r="D9" s="561"/>
      <c r="E9" s="562">
        <v>1</v>
      </c>
      <c r="F9" s="563">
        <f>IF(E$6&lt;3,0,IF(F$6=0,0,VLOOKUP($A9,base!$A:$P,F$6+4,FALSE)))</f>
        <v>15</v>
      </c>
      <c r="G9" s="563">
        <f>IF(E$6&lt;3,0,IF(G$6=0,0,VLOOKUP($A9,base!$A:$P,G$6+4,FALSE)))</f>
        <v>20</v>
      </c>
      <c r="H9" s="563">
        <f>IF(H$6=0,0,VLOOKUP($A9,base!$A:$P,H$6+4,FALSE))</f>
        <v>25</v>
      </c>
      <c r="I9" s="563">
        <f>IF(I$6=0,0,VLOOKUP($A9,base!$A:$P,I$6+4,FALSE))</f>
        <v>25</v>
      </c>
      <c r="J9" s="563">
        <f>IF(J$6=0,0,VLOOKUP($A9,base!$A:$P,J$6+4,FALSE))</f>
        <v>10</v>
      </c>
      <c r="K9" s="563">
        <f>IF(K$6=0,0,VLOOKUP($A9,base!$A:$P,K$6+4,FALSE))</f>
        <v>5</v>
      </c>
      <c r="L9" s="563">
        <f>IF(L$6=0,0,VLOOKUP($A9,base!$A:$P,L$6+4,FALSE))</f>
        <v>0</v>
      </c>
      <c r="M9" s="563">
        <f>IF(M$6=0,0,VLOOKUP($A9,base!$A:$P,M$6+4,FALSE))</f>
        <v>0</v>
      </c>
      <c r="N9" s="563">
        <f>IF(N$6=0,0,VLOOKUP($A9,base!$A:$P,N$6+4,FALSE))</f>
        <v>0</v>
      </c>
      <c r="O9" s="563">
        <f>IF(O$6=0,0,VLOOKUP($A9,base!$A:$P,O$6+4,FALSE))</f>
        <v>0</v>
      </c>
      <c r="P9" s="563">
        <f>IF(P$6=0,0,VLOOKUP($A9,base!$A:$P,P$6+4,FALSE))</f>
        <v>0</v>
      </c>
      <c r="Q9" s="564">
        <f>IF(Q$6=0,0,VLOOKUP($A9,base!$A:$P,Q$6+4,FALSE))</f>
        <v>0</v>
      </c>
      <c r="R9" s="565"/>
      <c r="S9" s="566">
        <f>ORÇAMENTO!Q18</f>
        <v>8251</v>
      </c>
      <c r="T9" s="567">
        <f t="shared" ref="T9:T19" si="3">IF($S$21=0,0,(S9/$S$21)*100)</f>
        <v>1.7936825114998616</v>
      </c>
      <c r="U9" s="534"/>
      <c r="V9" s="534"/>
      <c r="W9" s="568">
        <f t="shared" ref="W9:W19" si="4">SUM(F9:Q9)</f>
        <v>100</v>
      </c>
      <c r="X9" s="534"/>
    </row>
    <row r="10" spans="1:24">
      <c r="A10" s="126" t="str">
        <f t="shared" ref="A10:A19" si="5">CONCATENATE($E$6,"|",B10)</f>
        <v>8|2</v>
      </c>
      <c r="B10" s="569" t="s">
        <v>189</v>
      </c>
      <c r="C10" s="560" t="s">
        <v>490</v>
      </c>
      <c r="D10" s="561"/>
      <c r="E10" s="562">
        <v>2</v>
      </c>
      <c r="F10" s="563">
        <f>IF(E$6&lt;3,0,IF(F$6=0,0,VLOOKUP($A10,base!$A:$P,F$6+4,FALSE)))</f>
        <v>15</v>
      </c>
      <c r="G10" s="563">
        <f>IF(E$6&lt;3,0,IF(G$6=0,0,VLOOKUP($A10,base!$A:$P,G$6+4,FALSE)))</f>
        <v>20</v>
      </c>
      <c r="H10" s="563">
        <f>IF(H$6=0,0,VLOOKUP($A10,base!$A:$P,H$6+4,FALSE))</f>
        <v>25</v>
      </c>
      <c r="I10" s="563">
        <f>IF(I$6=0,0,VLOOKUP($A10,base!$A:$P,I$6+4,FALSE))</f>
        <v>25</v>
      </c>
      <c r="J10" s="563">
        <f>IF(J$6=0,0,VLOOKUP($A10,base!$A:$P,J$6+4,FALSE))</f>
        <v>10</v>
      </c>
      <c r="K10" s="563">
        <f>IF(K$6=0,0,VLOOKUP($A10,base!$A:$P,K$6+4,FALSE))</f>
        <v>5</v>
      </c>
      <c r="L10" s="563">
        <f>IF(L$6=0,0,VLOOKUP($A10,base!$A:$P,L$6+4,FALSE))</f>
        <v>0</v>
      </c>
      <c r="M10" s="563">
        <f>IF(M$6=0,0,VLOOKUP($A10,base!$A:$P,M$6+4,FALSE))</f>
        <v>0</v>
      </c>
      <c r="N10" s="563">
        <f>IF(N$6=0,0,VLOOKUP($A10,base!$A:$P,N$6+4,FALSE))</f>
        <v>0</v>
      </c>
      <c r="O10" s="563">
        <f>IF(O$6=0,0,VLOOKUP($A10,base!$A:$P,O$6+4,FALSE))</f>
        <v>0</v>
      </c>
      <c r="P10" s="563">
        <f>IF(P$6=0,0,VLOOKUP($A10,base!$A:$P,P$6+4,FALSE))</f>
        <v>0</v>
      </c>
      <c r="Q10" s="564">
        <f>IF(Q$6=0,0,VLOOKUP($A10,base!$A:$P,Q$6+4,FALSE))</f>
        <v>0</v>
      </c>
      <c r="R10" s="565"/>
      <c r="S10" s="566">
        <f>ORÇAMENTO!Q68</f>
        <v>46924.05</v>
      </c>
      <c r="T10" s="567">
        <f t="shared" si="3"/>
        <v>10.200805702793005</v>
      </c>
      <c r="U10" s="534"/>
      <c r="V10" s="534"/>
      <c r="W10" s="568">
        <f t="shared" si="4"/>
        <v>100</v>
      </c>
      <c r="X10" s="534"/>
    </row>
    <row r="11" spans="1:24">
      <c r="A11" s="126" t="str">
        <f t="shared" si="5"/>
        <v>8|3</v>
      </c>
      <c r="B11" s="569" t="s">
        <v>213</v>
      </c>
      <c r="C11" s="560" t="s">
        <v>496</v>
      </c>
      <c r="D11" s="561"/>
      <c r="E11" s="562">
        <v>3</v>
      </c>
      <c r="F11" s="563">
        <f>IF(E$6&lt;3,0,IF(F$6=0,0,VLOOKUP($A11,base!$A:$P,F$6+4,FALSE)))</f>
        <v>5</v>
      </c>
      <c r="G11" s="563">
        <f>IF(E$6&lt;3,0,IF(G$6=0,0,VLOOKUP($A11,base!$A:$P,G$6+4,FALSE)))</f>
        <v>10</v>
      </c>
      <c r="H11" s="563">
        <f>IF(H$6=0,0,VLOOKUP($A11,base!$A:$P,H$6+4,FALSE))</f>
        <v>15</v>
      </c>
      <c r="I11" s="563">
        <f>IF(I$6=0,0,VLOOKUP($A11,base!$A:$P,I$6+4,FALSE))</f>
        <v>20</v>
      </c>
      <c r="J11" s="563">
        <f>IF(J$6=0,0,VLOOKUP($A11,base!$A:$P,J$6+4,FALSE))</f>
        <v>20</v>
      </c>
      <c r="K11" s="563">
        <f>IF(K$6=0,0,VLOOKUP($A11,base!$A:$P,K$6+4,FALSE))</f>
        <v>20</v>
      </c>
      <c r="L11" s="563">
        <f>IF(L$6=0,0,VLOOKUP($A11,base!$A:$P,L$6+4,FALSE))</f>
        <v>10</v>
      </c>
      <c r="M11" s="563">
        <f>IF(M$6=0,0,VLOOKUP($A11,base!$A:$P,M$6+4,FALSE))</f>
        <v>0</v>
      </c>
      <c r="N11" s="563">
        <f>IF(N$6=0,0,VLOOKUP($A11,base!$A:$P,N$6+4,FALSE))</f>
        <v>0</v>
      </c>
      <c r="O11" s="563">
        <f>IF(O$6=0,0,VLOOKUP($A11,base!$A:$P,O$6+4,FALSE))</f>
        <v>0</v>
      </c>
      <c r="P11" s="563">
        <f>IF(P$6=0,0,VLOOKUP($A11,base!$A:$P,P$6+4,FALSE))</f>
        <v>0</v>
      </c>
      <c r="Q11" s="564">
        <f>IF(Q$6=0,0,VLOOKUP($A11,base!$A:$P,Q$6+4,FALSE))</f>
        <v>0</v>
      </c>
      <c r="R11" s="565"/>
      <c r="S11" s="566">
        <f>ORÇAMENTO!Q113</f>
        <v>76385.08</v>
      </c>
      <c r="T11" s="567">
        <f t="shared" si="3"/>
        <v>16.605330521817699</v>
      </c>
      <c r="U11" s="534"/>
      <c r="V11" s="534"/>
      <c r="W11" s="568">
        <f t="shared" si="4"/>
        <v>100</v>
      </c>
      <c r="X11" s="534"/>
    </row>
    <row r="12" spans="1:24">
      <c r="A12" s="126" t="str">
        <f t="shared" si="5"/>
        <v>8|4</v>
      </c>
      <c r="B12" s="569" t="s">
        <v>231</v>
      </c>
      <c r="C12" s="560" t="s">
        <v>491</v>
      </c>
      <c r="D12" s="561"/>
      <c r="E12" s="562">
        <v>4</v>
      </c>
      <c r="F12" s="563">
        <f>IF(E$6&lt;3,0,IF(F$6=0,0,VLOOKUP($A12,base!$A:$P,F$6+4,FALSE)))</f>
        <v>0</v>
      </c>
      <c r="G12" s="563">
        <f>IF(E$6&lt;3,0,IF(G$6=0,0,VLOOKUP($A12,base!$A:$P,G$6+4,FALSE)))</f>
        <v>0</v>
      </c>
      <c r="H12" s="563">
        <f>IF(H$6=0,0,VLOOKUP($A12,base!$A:$P,H$6+4,FALSE))</f>
        <v>10</v>
      </c>
      <c r="I12" s="563">
        <f>IF(I$6=0,0,VLOOKUP($A12,base!$A:$P,I$6+4,FALSE))</f>
        <v>25</v>
      </c>
      <c r="J12" s="563">
        <f>IF(J$6=0,0,VLOOKUP($A12,base!$A:$P,J$6+4,FALSE))</f>
        <v>25</v>
      </c>
      <c r="K12" s="563">
        <f>IF(K$6=0,0,VLOOKUP($A12,base!$A:$P,K$6+4,FALSE))</f>
        <v>20</v>
      </c>
      <c r="L12" s="563">
        <f>IF(L$6=0,0,VLOOKUP($A12,base!$A:$P,L$6+4,FALSE))</f>
        <v>10</v>
      </c>
      <c r="M12" s="563">
        <f>IF(M$6=0,0,VLOOKUP($A12,base!$A:$P,M$6+4,FALSE))</f>
        <v>10</v>
      </c>
      <c r="N12" s="563">
        <f>IF(N$6=0,0,VLOOKUP($A12,base!$A:$P,N$6+4,FALSE))</f>
        <v>0</v>
      </c>
      <c r="O12" s="563">
        <f>IF(O$6=0,0,VLOOKUP($A12,base!$A:$P,O$6+4,FALSE))</f>
        <v>0</v>
      </c>
      <c r="P12" s="563">
        <f>IF(P$6=0,0,VLOOKUP($A12,base!$A:$P,P$6+4,FALSE))</f>
        <v>0</v>
      </c>
      <c r="Q12" s="564">
        <f>IF(Q$6=0,0,VLOOKUP($A12,base!$A:$P,Q$6+4,FALSE))</f>
        <v>0</v>
      </c>
      <c r="R12" s="565"/>
      <c r="S12" s="566">
        <f>ORÇAMENTO!Q223</f>
        <v>190486.5</v>
      </c>
      <c r="T12" s="567">
        <f t="shared" si="3"/>
        <v>41.409805323817515</v>
      </c>
      <c r="U12" s="534"/>
      <c r="V12" s="534"/>
      <c r="W12" s="568">
        <f t="shared" si="4"/>
        <v>100</v>
      </c>
      <c r="X12" s="534"/>
    </row>
    <row r="13" spans="1:24">
      <c r="A13" s="126" t="str">
        <f t="shared" si="5"/>
        <v>8|5</v>
      </c>
      <c r="B13" s="569" t="s">
        <v>188</v>
      </c>
      <c r="C13" s="560" t="s">
        <v>492</v>
      </c>
      <c r="D13" s="561"/>
      <c r="E13" s="562">
        <v>5</v>
      </c>
      <c r="F13" s="563">
        <f>IF(E$6&lt;3,0,IF(F$6=0,0,VLOOKUP($A13,base!$A:$P,F$6+4,FALSE)))</f>
        <v>0</v>
      </c>
      <c r="G13" s="563">
        <f>IF(E$6&lt;3,0,IF(G$6=0,0,VLOOKUP($A13,base!$A:$P,G$6+4,FALSE)))</f>
        <v>5</v>
      </c>
      <c r="H13" s="563">
        <f>IF(H$6=0,0,VLOOKUP($A13,base!$A:$P,H$6+4,FALSE))</f>
        <v>15</v>
      </c>
      <c r="I13" s="563">
        <f>IF(I$6=0,0,VLOOKUP($A13,base!$A:$P,I$6+4,FALSE))</f>
        <v>25</v>
      </c>
      <c r="J13" s="563">
        <f>IF(J$6=0,0,VLOOKUP($A13,base!$A:$P,J$6+4,FALSE))</f>
        <v>25</v>
      </c>
      <c r="K13" s="563">
        <f>IF(K$6=0,0,VLOOKUP($A13,base!$A:$P,K$6+4,FALSE))</f>
        <v>15</v>
      </c>
      <c r="L13" s="563">
        <f>IF(L$6=0,0,VLOOKUP($A13,base!$A:$P,L$6+4,FALSE))</f>
        <v>15</v>
      </c>
      <c r="M13" s="563">
        <f>IF(M$6=0,0,VLOOKUP($A13,base!$A:$P,M$6+4,FALSE))</f>
        <v>0</v>
      </c>
      <c r="N13" s="563">
        <f>IF(N$6=0,0,VLOOKUP($A13,base!$A:$P,N$6+4,FALSE))</f>
        <v>0</v>
      </c>
      <c r="O13" s="563">
        <f>IF(O$6=0,0,VLOOKUP($A13,base!$A:$P,O$6+4,FALSE))</f>
        <v>0</v>
      </c>
      <c r="P13" s="563">
        <f>IF(P$6=0,0,VLOOKUP($A13,base!$A:$P,P$6+4,FALSE))</f>
        <v>0</v>
      </c>
      <c r="Q13" s="564">
        <f>IF(Q$6=0,0,VLOOKUP($A13,base!$A:$P,Q$6+4,FALSE))</f>
        <v>0</v>
      </c>
      <c r="R13" s="565"/>
      <c r="S13" s="566">
        <f>ORÇAMENTO!Q473</f>
        <v>0</v>
      </c>
      <c r="T13" s="567">
        <f t="shared" si="3"/>
        <v>0</v>
      </c>
      <c r="U13" s="534"/>
      <c r="V13" s="534"/>
      <c r="W13" s="568">
        <f t="shared" si="4"/>
        <v>100</v>
      </c>
      <c r="X13" s="534"/>
    </row>
    <row r="14" spans="1:24">
      <c r="A14" s="126" t="str">
        <f t="shared" si="5"/>
        <v>8|6</v>
      </c>
      <c r="B14" s="569" t="s">
        <v>233</v>
      </c>
      <c r="C14" s="560" t="s">
        <v>836</v>
      </c>
      <c r="D14" s="561"/>
      <c r="E14" s="562">
        <v>3</v>
      </c>
      <c r="F14" s="563">
        <f>IF(E$6&lt;3,0,IF(F$6=0,0,VLOOKUP($A14,base!$A:$P,F$6+4,FALSE)))</f>
        <v>0</v>
      </c>
      <c r="G14" s="563">
        <f>IF(E$6&lt;3,0,IF(G$6=0,0,VLOOKUP($A14,base!$A:$P,G$6+4,FALSE)))</f>
        <v>0</v>
      </c>
      <c r="H14" s="563">
        <f>IF(H$6=0,0,VLOOKUP($A14,base!$A:$P,H$6+4,FALSE))</f>
        <v>5</v>
      </c>
      <c r="I14" s="563">
        <f>IF(I$6=0,0,VLOOKUP($A14,base!$A:$P,I$6+4,FALSE))</f>
        <v>20</v>
      </c>
      <c r="J14" s="563">
        <f>IF(J$6=0,0,VLOOKUP($A14,base!$A:$P,J$6+4,FALSE))</f>
        <v>20</v>
      </c>
      <c r="K14" s="563">
        <f>IF(K$6=0,0,VLOOKUP($A14,base!$A:$P,K$6+4,FALSE))</f>
        <v>25</v>
      </c>
      <c r="L14" s="563">
        <f>IF(L$6=0,0,VLOOKUP($A14,base!$A:$P,L$6+4,FALSE))</f>
        <v>20</v>
      </c>
      <c r="M14" s="563">
        <f>IF(M$6=0,0,VLOOKUP($A14,base!$A:$P,M$6+4,FALSE))</f>
        <v>10</v>
      </c>
      <c r="N14" s="563">
        <f>IF(N$6=0,0,VLOOKUP($A14,base!$A:$P,N$6+4,FALSE))</f>
        <v>0</v>
      </c>
      <c r="O14" s="563">
        <f>IF(O$6=0,0,VLOOKUP($A14,base!$A:$P,O$6+4,FALSE))</f>
        <v>0</v>
      </c>
      <c r="P14" s="563">
        <f>IF(P$6=0,0,VLOOKUP($A14,base!$A:$P,P$6+4,FALSE))</f>
        <v>0</v>
      </c>
      <c r="Q14" s="564">
        <f>IF(Q$6=0,0,VLOOKUP($A14,base!$A:$P,Q$6+4,FALSE))</f>
        <v>0</v>
      </c>
      <c r="R14" s="565"/>
      <c r="S14" s="566">
        <f>ORÇAMENTO!Q528</f>
        <v>10356.049999999999</v>
      </c>
      <c r="T14" s="567">
        <f t="shared" si="3"/>
        <v>2.2512987241810856</v>
      </c>
      <c r="U14" s="534"/>
      <c r="V14" s="534"/>
      <c r="W14" s="568">
        <f t="shared" si="4"/>
        <v>100</v>
      </c>
      <c r="X14" s="534"/>
    </row>
    <row r="15" spans="1:24">
      <c r="A15" s="126" t="str">
        <f t="shared" si="5"/>
        <v>8|7</v>
      </c>
      <c r="B15" s="569" t="s">
        <v>471</v>
      </c>
      <c r="C15" s="560" t="s">
        <v>499</v>
      </c>
      <c r="D15" s="561"/>
      <c r="E15" s="562">
        <v>5</v>
      </c>
      <c r="F15" s="563">
        <f>IF(E$6&lt;3,0,IF(F$6=0,0,VLOOKUP($A15,base!$A:$P,F$6+4,FALSE)))</f>
        <v>0</v>
      </c>
      <c r="G15" s="563">
        <f>IF(E$6&lt;3,0,IF(G$6=0,0,VLOOKUP($A15,base!$A:$P,G$6+4,FALSE)))</f>
        <v>0</v>
      </c>
      <c r="H15" s="563">
        <f>IF(H$6=0,0,VLOOKUP($A15,base!$A:$P,H$6+4,FALSE))</f>
        <v>5</v>
      </c>
      <c r="I15" s="563">
        <f>IF(I$6=0,0,VLOOKUP($A15,base!$A:$P,I$6+4,FALSE))</f>
        <v>15</v>
      </c>
      <c r="J15" s="563">
        <f>IF(J$6=0,0,VLOOKUP($A15,base!$A:$P,J$6+4,FALSE))</f>
        <v>20</v>
      </c>
      <c r="K15" s="563">
        <f>IF(K$6=0,0,VLOOKUP($A15,base!$A:$P,K$6+4,FALSE))</f>
        <v>25</v>
      </c>
      <c r="L15" s="563">
        <f>IF(L$6=0,0,VLOOKUP($A15,base!$A:$P,L$6+4,FALSE))</f>
        <v>25</v>
      </c>
      <c r="M15" s="563">
        <f>IF(M$6=0,0,VLOOKUP($A15,base!$A:$P,M$6+4,FALSE))</f>
        <v>10</v>
      </c>
      <c r="N15" s="563">
        <f>IF(N$6=0,0,VLOOKUP($A15,base!$A:$P,N$6+4,FALSE))</f>
        <v>0</v>
      </c>
      <c r="O15" s="563">
        <f>IF(O$6=0,0,VLOOKUP($A15,base!$A:$P,O$6+4,FALSE))</f>
        <v>0</v>
      </c>
      <c r="P15" s="563">
        <f>IF(P$6=0,0,VLOOKUP($A15,base!$A:$P,P$6+4,FALSE))</f>
        <v>0</v>
      </c>
      <c r="Q15" s="564">
        <f>IF(Q$6=0,0,VLOOKUP($A15,base!$A:$P,Q$6+4,FALSE))</f>
        <v>0</v>
      </c>
      <c r="R15" s="565"/>
      <c r="S15" s="566">
        <f>ORÇAMENTO!Q725</f>
        <v>113175.32999999999</v>
      </c>
      <c r="T15" s="567">
        <f t="shared" si="3"/>
        <v>24.603152363862026</v>
      </c>
      <c r="U15" s="534"/>
      <c r="V15" s="534"/>
      <c r="W15" s="568">
        <f t="shared" si="4"/>
        <v>100</v>
      </c>
      <c r="X15" s="534"/>
    </row>
    <row r="16" spans="1:24">
      <c r="A16" s="126" t="str">
        <f t="shared" si="5"/>
        <v>8|8</v>
      </c>
      <c r="B16" s="569" t="s">
        <v>338</v>
      </c>
      <c r="C16" s="560" t="s">
        <v>501</v>
      </c>
      <c r="D16" s="561"/>
      <c r="E16" s="562">
        <v>6</v>
      </c>
      <c r="F16" s="563">
        <f>IF(E$6&lt;3,0,IF(F$6=0,0,VLOOKUP($A16,base!$A:$P,F$6+4,FALSE)))</f>
        <v>0</v>
      </c>
      <c r="G16" s="563">
        <f>IF(E$6&lt;3,0,IF(G$6=0,0,VLOOKUP($A16,base!$A:$P,G$6+4,FALSE)))</f>
        <v>0</v>
      </c>
      <c r="H16" s="563">
        <f>IF(H$6=0,0,VLOOKUP($A16,base!$A:$P,H$6+4,FALSE))</f>
        <v>0</v>
      </c>
      <c r="I16" s="563">
        <f>IF(I$6=0,0,VLOOKUP($A16,base!$A:$P,I$6+4,FALSE))</f>
        <v>20</v>
      </c>
      <c r="J16" s="563">
        <f>IF(J$6=0,0,VLOOKUP($A16,base!$A:$P,J$6+4,FALSE))</f>
        <v>20</v>
      </c>
      <c r="K16" s="563">
        <f>IF(K$6=0,0,VLOOKUP($A16,base!$A:$P,K$6+4,FALSE))</f>
        <v>30</v>
      </c>
      <c r="L16" s="563">
        <f>IF(L$6=0,0,VLOOKUP($A16,base!$A:$P,L$6+4,FALSE))</f>
        <v>20</v>
      </c>
      <c r="M16" s="563">
        <f>IF(M$6=0,0,VLOOKUP($A16,base!$A:$P,M$6+4,FALSE))</f>
        <v>10</v>
      </c>
      <c r="N16" s="563">
        <f>IF(N$6=0,0,VLOOKUP($A16,base!$A:$P,N$6+4,FALSE))</f>
        <v>0</v>
      </c>
      <c r="O16" s="563">
        <f>IF(O$6=0,0,VLOOKUP($A16,base!$A:$P,O$6+4,FALSE))</f>
        <v>0</v>
      </c>
      <c r="P16" s="563">
        <f>IF(P$6=0,0,VLOOKUP($A16,base!$A:$P,P$6+4,FALSE))</f>
        <v>0</v>
      </c>
      <c r="Q16" s="564">
        <f>IF(Q$6=0,0,VLOOKUP($A16,base!$A:$P,Q$6+4,FALSE))</f>
        <v>0</v>
      </c>
      <c r="R16" s="565"/>
      <c r="S16" s="566"/>
      <c r="T16" s="567">
        <f t="shared" si="3"/>
        <v>0</v>
      </c>
      <c r="U16" s="534"/>
      <c r="V16" s="534"/>
      <c r="W16" s="568">
        <f t="shared" si="4"/>
        <v>100</v>
      </c>
      <c r="X16" s="534"/>
    </row>
    <row r="17" spans="1:24">
      <c r="A17" s="126" t="str">
        <f t="shared" si="5"/>
        <v>8|9</v>
      </c>
      <c r="B17" s="569" t="s">
        <v>502</v>
      </c>
      <c r="C17" s="560" t="s">
        <v>503</v>
      </c>
      <c r="D17" s="561"/>
      <c r="E17" s="562">
        <v>6</v>
      </c>
      <c r="F17" s="563">
        <f>IF(E$6&lt;3,0,IF(F$6=0,0,VLOOKUP($A17,base!$A:$P,F$6+4,FALSE)))</f>
        <v>5</v>
      </c>
      <c r="G17" s="563">
        <f>IF(E$6&lt;3,0,IF(G$6=0,0,VLOOKUP($A17,base!$A:$P,G$6+4,FALSE)))</f>
        <v>5</v>
      </c>
      <c r="H17" s="563">
        <f>IF(H$6=0,0,VLOOKUP($A17,base!$A:$P,H$6+4,FALSE))</f>
        <v>10</v>
      </c>
      <c r="I17" s="563">
        <f>IF(I$6=0,0,VLOOKUP($A17,base!$A:$P,I$6+4,FALSE))</f>
        <v>15</v>
      </c>
      <c r="J17" s="563">
        <f>IF(J$6=0,0,VLOOKUP($A17,base!$A:$P,J$6+4,FALSE))</f>
        <v>20</v>
      </c>
      <c r="K17" s="563">
        <f>IF(K$6=0,0,VLOOKUP($A17,base!$A:$P,K$6+4,FALSE))</f>
        <v>20</v>
      </c>
      <c r="L17" s="563">
        <f>IF(L$6=0,0,VLOOKUP($A17,base!$A:$P,L$6+4,FALSE))</f>
        <v>15</v>
      </c>
      <c r="M17" s="563">
        <f>IF(M$6=0,0,VLOOKUP($A17,base!$A:$P,M$6+4,FALSE))</f>
        <v>10</v>
      </c>
      <c r="N17" s="563">
        <f>IF(N$6=0,0,VLOOKUP($A17,base!$A:$P,N$6+4,FALSE))</f>
        <v>0</v>
      </c>
      <c r="O17" s="563">
        <f>IF(O$6=0,0,VLOOKUP($A17,base!$A:$P,O$6+4,FALSE))</f>
        <v>0</v>
      </c>
      <c r="P17" s="563">
        <f>IF(P$6=0,0,VLOOKUP($A17,base!$A:$P,P$6+4,FALSE))</f>
        <v>0</v>
      </c>
      <c r="Q17" s="564">
        <f>IF(Q$6=0,0,VLOOKUP($A17,base!$A:$P,Q$6+4,FALSE))</f>
        <v>0</v>
      </c>
      <c r="R17" s="565"/>
      <c r="S17" s="566"/>
      <c r="T17" s="567">
        <f t="shared" si="3"/>
        <v>0</v>
      </c>
      <c r="U17" s="534"/>
      <c r="V17" s="534"/>
      <c r="W17" s="568">
        <f t="shared" si="4"/>
        <v>100</v>
      </c>
      <c r="X17" s="534"/>
    </row>
    <row r="18" spans="1:24">
      <c r="A18" s="126" t="str">
        <f t="shared" si="5"/>
        <v>8|10</v>
      </c>
      <c r="B18" s="569" t="s">
        <v>504</v>
      </c>
      <c r="C18" s="560" t="s">
        <v>493</v>
      </c>
      <c r="D18" s="561"/>
      <c r="E18" s="562"/>
      <c r="F18" s="563">
        <f>IF(E$6&lt;3,0,IF(F$6=0,0,VLOOKUP($A18,base!$A:$P,F$6+4,FALSE)))</f>
        <v>15</v>
      </c>
      <c r="G18" s="563">
        <f>IF(E$6&lt;3,0,IF(G$6=0,0,VLOOKUP($A18,base!$A:$P,G$6+4,FALSE)))</f>
        <v>20</v>
      </c>
      <c r="H18" s="563">
        <f>IF(H$6=0,0,VLOOKUP($A18,base!$A:$P,H$6+4,FALSE))</f>
        <v>20</v>
      </c>
      <c r="I18" s="563">
        <f>IF(I$6=0,0,VLOOKUP($A18,base!$A:$P,I$6+4,FALSE))</f>
        <v>20</v>
      </c>
      <c r="J18" s="563">
        <f>IF(J$6=0,0,VLOOKUP($A18,base!$A:$P,J$6+4,FALSE))</f>
        <v>15</v>
      </c>
      <c r="K18" s="563">
        <f>IF(K$6=0,0,VLOOKUP($A18,base!$A:$P,K$6+4,FALSE))</f>
        <v>10</v>
      </c>
      <c r="L18" s="563">
        <f>IF(L$6=0,0,VLOOKUP($A18,base!$A:$P,L$6+4,FALSE))</f>
        <v>0</v>
      </c>
      <c r="M18" s="563">
        <f>IF(M$6=0,0,VLOOKUP($A18,base!$A:$P,M$6+4,FALSE))</f>
        <v>0</v>
      </c>
      <c r="N18" s="563">
        <f>IF(N$6=0,0,VLOOKUP($A18,base!$A:$P,N$6+4,FALSE))</f>
        <v>0</v>
      </c>
      <c r="O18" s="563">
        <f>IF(O$6=0,0,VLOOKUP($A18,base!$A:$P,O$6+4,FALSE))</f>
        <v>0</v>
      </c>
      <c r="P18" s="563">
        <f>IF(P$6=0,0,VLOOKUP($A18,base!$A:$P,P$6+4,FALSE))</f>
        <v>0</v>
      </c>
      <c r="Q18" s="564">
        <f>IF(Q$6=0,0,VLOOKUP($A18,base!$A:$P,Q$6+4,FALSE))</f>
        <v>0</v>
      </c>
      <c r="R18" s="565"/>
      <c r="S18" s="566">
        <f>ORÇAMENTO!Q1740</f>
        <v>0</v>
      </c>
      <c r="T18" s="567">
        <f t="shared" si="3"/>
        <v>0</v>
      </c>
      <c r="U18" s="534"/>
      <c r="V18" s="534"/>
      <c r="W18" s="568">
        <f t="shared" si="4"/>
        <v>100</v>
      </c>
      <c r="X18" s="534"/>
    </row>
    <row r="19" spans="1:24">
      <c r="A19" s="126" t="str">
        <f t="shared" si="5"/>
        <v>8|11</v>
      </c>
      <c r="B19" s="569" t="s">
        <v>758</v>
      </c>
      <c r="C19" s="560" t="s">
        <v>796</v>
      </c>
      <c r="D19" s="561"/>
      <c r="E19" s="562"/>
      <c r="F19" s="563">
        <f>IF(E$6&lt;3,0,IF(F$6=0,0,VLOOKUP($A19,base!$A:$P,F$6+4,FALSE)))</f>
        <v>2</v>
      </c>
      <c r="G19" s="563">
        <f>IF(E$6&lt;3,0,IF(G$6=0,0,VLOOKUP($A19,base!$A:$P,G$6+4,FALSE)))</f>
        <v>2</v>
      </c>
      <c r="H19" s="563">
        <f>IF(H$6=0,0,VLOOKUP($A19,base!$A:$P,H$6+4,FALSE))</f>
        <v>13</v>
      </c>
      <c r="I19" s="563">
        <f>IF(I$6=0,0,VLOOKUP($A19,base!$A:$P,I$6+4,FALSE))</f>
        <v>15</v>
      </c>
      <c r="J19" s="563">
        <f>IF(J$6=0,0,VLOOKUP($A19,base!$A:$P,J$6+4,FALSE))</f>
        <v>15</v>
      </c>
      <c r="K19" s="563">
        <f>IF(K$6=0,0,VLOOKUP($A19,base!$A:$P,K$6+4,FALSE))</f>
        <v>22</v>
      </c>
      <c r="L19" s="563">
        <f>IF(L$6=0,0,VLOOKUP($A19,base!$A:$P,L$6+4,FALSE))</f>
        <v>23</v>
      </c>
      <c r="M19" s="563">
        <f>IF(M$6=0,0,VLOOKUP($A19,base!$A:$P,M$6+4,FALSE))</f>
        <v>8</v>
      </c>
      <c r="N19" s="563">
        <f>IF(N$6=0,0,VLOOKUP($A19,base!$A:$P,N$6+4,FALSE))</f>
        <v>0</v>
      </c>
      <c r="O19" s="563">
        <f>IF(O$6=0,0,VLOOKUP($A19,base!$A:$P,O$6+4,FALSE))</f>
        <v>0</v>
      </c>
      <c r="P19" s="563">
        <f>IF(P$6=0,0,VLOOKUP($A19,base!$A:$P,P$6+4,FALSE))</f>
        <v>0</v>
      </c>
      <c r="Q19" s="564">
        <f>IF(Q$6=0,0,VLOOKUP($A19,base!$A:$P,Q$6+4,FALSE))</f>
        <v>0</v>
      </c>
      <c r="R19" s="565"/>
      <c r="S19" s="566">
        <f>ORÇAMENTO!Q2617</f>
        <v>14425.36</v>
      </c>
      <c r="T19" s="567">
        <f t="shared" si="3"/>
        <v>3.1359248520288014</v>
      </c>
      <c r="U19" s="534"/>
      <c r="V19" s="534"/>
      <c r="W19" s="568">
        <f t="shared" si="4"/>
        <v>100</v>
      </c>
      <c r="X19" s="534"/>
    </row>
    <row r="20" spans="1:24" ht="13.5" thickBot="1">
      <c r="A20" s="82"/>
      <c r="B20" s="570"/>
      <c r="C20" s="571"/>
      <c r="D20" s="571"/>
      <c r="E20" s="571"/>
      <c r="F20" s="127"/>
      <c r="G20" s="127"/>
      <c r="H20" s="127"/>
      <c r="I20" s="127"/>
      <c r="J20" s="127"/>
      <c r="K20" s="127"/>
      <c r="L20" s="127"/>
      <c r="M20" s="127"/>
      <c r="N20" s="127"/>
      <c r="O20" s="127"/>
      <c r="P20" s="127"/>
      <c r="Q20" s="127"/>
      <c r="R20" s="127"/>
      <c r="S20" s="128"/>
      <c r="T20" s="129"/>
      <c r="U20" s="534"/>
      <c r="V20" s="534"/>
      <c r="W20" s="534"/>
      <c r="X20" s="534"/>
    </row>
    <row r="21" spans="1:24" ht="14.25" thickTop="1" thickBot="1">
      <c r="A21" s="82"/>
      <c r="B21" s="572"/>
      <c r="C21" s="130" t="s">
        <v>910</v>
      </c>
      <c r="D21" s="130" t="s">
        <v>910</v>
      </c>
      <c r="E21" s="573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2">
        <f>SUM(S9:S20)</f>
        <v>460003.37</v>
      </c>
      <c r="T21" s="133">
        <f>SUM(T9:T19)</f>
        <v>100</v>
      </c>
      <c r="U21" s="534"/>
      <c r="V21" s="534"/>
      <c r="W21" s="534"/>
      <c r="X21" s="534"/>
    </row>
    <row r="22" spans="1:24" ht="18.75" thickTop="1">
      <c r="A22" s="82"/>
      <c r="B22" s="134" t="s">
        <v>911</v>
      </c>
      <c r="C22" s="135"/>
      <c r="D22" s="135"/>
      <c r="E22" s="135"/>
      <c r="F22" s="136"/>
      <c r="G22" s="136"/>
      <c r="H22" s="136"/>
      <c r="I22" s="136"/>
      <c r="J22" s="136"/>
      <c r="K22" s="136"/>
      <c r="L22" s="136"/>
      <c r="M22" s="136"/>
      <c r="N22" s="136"/>
      <c r="O22" s="136"/>
      <c r="P22" s="136"/>
      <c r="Q22" s="136"/>
      <c r="R22" s="136"/>
      <c r="S22" s="136"/>
      <c r="T22" s="137"/>
      <c r="U22" s="534"/>
      <c r="V22" s="534"/>
      <c r="W22" s="534"/>
      <c r="X22" s="534"/>
    </row>
    <row r="23" spans="1:24" ht="13.5" thickBot="1">
      <c r="A23" s="82"/>
      <c r="B23" s="547" t="s">
        <v>906</v>
      </c>
      <c r="C23" s="552"/>
      <c r="D23" s="552"/>
      <c r="E23" s="552"/>
      <c r="F23" s="138" t="s">
        <v>912</v>
      </c>
      <c r="G23" s="138"/>
      <c r="H23" s="138"/>
      <c r="I23" s="138"/>
      <c r="J23" s="138"/>
      <c r="K23" s="138"/>
      <c r="L23" s="138"/>
      <c r="M23" s="138"/>
      <c r="N23" s="138"/>
      <c r="O23" s="138"/>
      <c r="P23" s="138"/>
      <c r="Q23" s="139"/>
      <c r="R23" s="544" t="s">
        <v>913</v>
      </c>
      <c r="S23" s="140" t="s">
        <v>536</v>
      </c>
      <c r="T23" s="141" t="s">
        <v>904</v>
      </c>
      <c r="U23" s="534"/>
      <c r="V23" s="534"/>
      <c r="W23" s="534"/>
      <c r="X23" s="534"/>
    </row>
    <row r="24" spans="1:24" ht="13.5" thickTop="1">
      <c r="A24" s="82"/>
      <c r="B24" s="574"/>
      <c r="C24" s="575"/>
      <c r="D24" s="576"/>
      <c r="E24" s="576"/>
      <c r="F24" s="142">
        <f t="shared" ref="F24:Q24" si="6">F6</f>
        <v>1</v>
      </c>
      <c r="G24" s="142">
        <f t="shared" si="6"/>
        <v>2</v>
      </c>
      <c r="H24" s="142">
        <f t="shared" si="6"/>
        <v>3</v>
      </c>
      <c r="I24" s="142">
        <f t="shared" si="6"/>
        <v>4</v>
      </c>
      <c r="J24" s="142">
        <f t="shared" si="6"/>
        <v>5</v>
      </c>
      <c r="K24" s="142">
        <f t="shared" si="6"/>
        <v>6</v>
      </c>
      <c r="L24" s="142">
        <f t="shared" si="6"/>
        <v>7</v>
      </c>
      <c r="M24" s="142">
        <f t="shared" si="6"/>
        <v>8</v>
      </c>
      <c r="N24" s="142">
        <f t="shared" si="6"/>
        <v>0</v>
      </c>
      <c r="O24" s="142">
        <f t="shared" si="6"/>
        <v>0</v>
      </c>
      <c r="P24" s="142">
        <f t="shared" si="6"/>
        <v>0</v>
      </c>
      <c r="Q24" s="143">
        <f t="shared" si="6"/>
        <v>0</v>
      </c>
      <c r="R24" s="577" t="s">
        <v>914</v>
      </c>
      <c r="S24" s="144" t="s">
        <v>906</v>
      </c>
      <c r="T24" s="145" t="s">
        <v>906</v>
      </c>
      <c r="U24" s="534"/>
      <c r="V24" s="534"/>
      <c r="W24" s="534"/>
      <c r="X24" s="534"/>
    </row>
    <row r="25" spans="1:24">
      <c r="A25" s="82"/>
      <c r="B25" s="146" t="s">
        <v>915</v>
      </c>
      <c r="C25" s="147" t="s">
        <v>494</v>
      </c>
      <c r="D25" s="148" t="s">
        <v>916</v>
      </c>
      <c r="E25" s="149" t="s">
        <v>917</v>
      </c>
      <c r="F25" s="150">
        <f t="shared" ref="F25:Q25" si="7">((F9/100)*$S$9)*$T$2</f>
        <v>736.82689270950334</v>
      </c>
      <c r="G25" s="150">
        <f t="shared" si="7"/>
        <v>982.43585694600461</v>
      </c>
      <c r="H25" s="150">
        <f t="shared" si="7"/>
        <v>1228.0448211825058</v>
      </c>
      <c r="I25" s="150">
        <f t="shared" si="7"/>
        <v>1228.0448211825058</v>
      </c>
      <c r="J25" s="150">
        <f t="shared" si="7"/>
        <v>491.2179284730023</v>
      </c>
      <c r="K25" s="150">
        <f t="shared" si="7"/>
        <v>245.60896423650115</v>
      </c>
      <c r="L25" s="150">
        <f t="shared" si="7"/>
        <v>0</v>
      </c>
      <c r="M25" s="150">
        <f t="shared" si="7"/>
        <v>0</v>
      </c>
      <c r="N25" s="150">
        <f t="shared" si="7"/>
        <v>0</v>
      </c>
      <c r="O25" s="150">
        <f t="shared" si="7"/>
        <v>0</v>
      </c>
      <c r="P25" s="150">
        <f t="shared" si="7"/>
        <v>0</v>
      </c>
      <c r="Q25" s="151">
        <f t="shared" si="7"/>
        <v>0</v>
      </c>
      <c r="R25" s="152">
        <f>COUNTIF(F25:Q25,"&gt;0")</f>
        <v>6</v>
      </c>
      <c r="S25" s="153">
        <f t="shared" ref="S25:S46" si="8">SUM(F25:Q25)</f>
        <v>4912.179284730023</v>
      </c>
      <c r="T25" s="154">
        <f t="shared" ref="T25:T46" si="9">IF($S$51=0,0,(S25/$S$51))</f>
        <v>1.0678572386828433E-2</v>
      </c>
      <c r="U25" s="534"/>
      <c r="V25" s="534"/>
      <c r="W25" s="534"/>
      <c r="X25" s="534"/>
    </row>
    <row r="26" spans="1:24">
      <c r="A26" s="82"/>
      <c r="B26" s="146" t="s">
        <v>918</v>
      </c>
      <c r="C26" s="155"/>
      <c r="D26" s="148" t="s">
        <v>919</v>
      </c>
      <c r="E26" s="149" t="s">
        <v>917</v>
      </c>
      <c r="F26" s="150">
        <f>((F9/100)*$S$9)*T3</f>
        <v>500.82310729049652</v>
      </c>
      <c r="G26" s="150">
        <f t="shared" ref="G26:Q26" si="10">((G9/100)*$S$9)*$T$3</f>
        <v>667.76414305399544</v>
      </c>
      <c r="H26" s="150">
        <f t="shared" si="10"/>
        <v>834.70517881749424</v>
      </c>
      <c r="I26" s="150">
        <f t="shared" si="10"/>
        <v>834.70517881749424</v>
      </c>
      <c r="J26" s="150">
        <f t="shared" si="10"/>
        <v>333.88207152699772</v>
      </c>
      <c r="K26" s="150">
        <f t="shared" si="10"/>
        <v>166.94103576349886</v>
      </c>
      <c r="L26" s="150">
        <f t="shared" si="10"/>
        <v>0</v>
      </c>
      <c r="M26" s="150">
        <f t="shared" si="10"/>
        <v>0</v>
      </c>
      <c r="N26" s="150">
        <f t="shared" si="10"/>
        <v>0</v>
      </c>
      <c r="O26" s="150">
        <f t="shared" si="10"/>
        <v>0</v>
      </c>
      <c r="P26" s="150">
        <f t="shared" si="10"/>
        <v>0</v>
      </c>
      <c r="Q26" s="151">
        <f t="shared" si="10"/>
        <v>0</v>
      </c>
      <c r="R26" s="156">
        <f t="shared" ref="R26:R46" si="11">COUNTIF(F26:Q26,"&gt;0")</f>
        <v>6</v>
      </c>
      <c r="S26" s="153">
        <f t="shared" si="8"/>
        <v>3338.820715269977</v>
      </c>
      <c r="T26" s="154">
        <f t="shared" si="9"/>
        <v>7.2582527281701802E-3</v>
      </c>
      <c r="U26" s="578"/>
      <c r="V26" s="534"/>
      <c r="W26" s="534"/>
      <c r="X26" s="534"/>
    </row>
    <row r="27" spans="1:24">
      <c r="A27" s="82"/>
      <c r="B27" s="146" t="s">
        <v>920</v>
      </c>
      <c r="C27" s="157" t="s">
        <v>490</v>
      </c>
      <c r="D27" s="149" t="s">
        <v>916</v>
      </c>
      <c r="E27" s="149" t="s">
        <v>917</v>
      </c>
      <c r="F27" s="150">
        <f t="shared" ref="F27:Q27" si="12">((F10/100)*$S$10)*$T$2</f>
        <v>4190.3892806745089</v>
      </c>
      <c r="G27" s="150">
        <f t="shared" si="12"/>
        <v>5587.1857075660128</v>
      </c>
      <c r="H27" s="150">
        <f t="shared" si="12"/>
        <v>6983.9821344575157</v>
      </c>
      <c r="I27" s="150">
        <f t="shared" si="12"/>
        <v>6983.9821344575157</v>
      </c>
      <c r="J27" s="150">
        <f t="shared" si="12"/>
        <v>2793.5928537830064</v>
      </c>
      <c r="K27" s="150">
        <f t="shared" si="12"/>
        <v>1396.7964268915032</v>
      </c>
      <c r="L27" s="150">
        <f t="shared" si="12"/>
        <v>0</v>
      </c>
      <c r="M27" s="150">
        <f t="shared" si="12"/>
        <v>0</v>
      </c>
      <c r="N27" s="150">
        <f t="shared" si="12"/>
        <v>0</v>
      </c>
      <c r="O27" s="150">
        <f t="shared" si="12"/>
        <v>0</v>
      </c>
      <c r="P27" s="150">
        <f t="shared" si="12"/>
        <v>0</v>
      </c>
      <c r="Q27" s="151">
        <f t="shared" si="12"/>
        <v>0</v>
      </c>
      <c r="R27" s="156">
        <f t="shared" si="11"/>
        <v>6</v>
      </c>
      <c r="S27" s="153">
        <f t="shared" si="8"/>
        <v>27935.928537830066</v>
      </c>
      <c r="T27" s="154">
        <f t="shared" si="9"/>
        <v>6.0729834518016827E-2</v>
      </c>
      <c r="U27" s="534"/>
      <c r="V27" s="534"/>
      <c r="W27" s="534"/>
      <c r="X27" s="534"/>
    </row>
    <row r="28" spans="1:24">
      <c r="A28" s="82"/>
      <c r="B28" s="146" t="s">
        <v>921</v>
      </c>
      <c r="C28" s="158"/>
      <c r="D28" s="149" t="s">
        <v>919</v>
      </c>
      <c r="E28" s="149" t="s">
        <v>917</v>
      </c>
      <c r="F28" s="150">
        <f t="shared" ref="F28:Q28" si="13">((F10/100)*$S$10)*$T$3</f>
        <v>2848.2182193254907</v>
      </c>
      <c r="G28" s="150">
        <f t="shared" si="13"/>
        <v>3797.6242924339886</v>
      </c>
      <c r="H28" s="150">
        <f t="shared" si="13"/>
        <v>4747.030365542485</v>
      </c>
      <c r="I28" s="150">
        <f t="shared" si="13"/>
        <v>4747.030365542485</v>
      </c>
      <c r="J28" s="150">
        <f t="shared" si="13"/>
        <v>1898.8121462169943</v>
      </c>
      <c r="K28" s="150">
        <f t="shared" si="13"/>
        <v>949.40607310849714</v>
      </c>
      <c r="L28" s="150">
        <f t="shared" si="13"/>
        <v>0</v>
      </c>
      <c r="M28" s="150">
        <f t="shared" si="13"/>
        <v>0</v>
      </c>
      <c r="N28" s="150">
        <f t="shared" si="13"/>
        <v>0</v>
      </c>
      <c r="O28" s="150">
        <f t="shared" si="13"/>
        <v>0</v>
      </c>
      <c r="P28" s="150">
        <f t="shared" si="13"/>
        <v>0</v>
      </c>
      <c r="Q28" s="151">
        <f t="shared" si="13"/>
        <v>0</v>
      </c>
      <c r="R28" s="156">
        <f t="shared" si="11"/>
        <v>6</v>
      </c>
      <c r="S28" s="153">
        <f t="shared" si="8"/>
        <v>18988.12146216994</v>
      </c>
      <c r="T28" s="154">
        <f t="shared" si="9"/>
        <v>4.1278222509913219E-2</v>
      </c>
      <c r="U28" s="578"/>
      <c r="V28" s="534"/>
      <c r="W28" s="534"/>
      <c r="X28" s="534"/>
    </row>
    <row r="29" spans="1:24">
      <c r="A29" s="82"/>
      <c r="B29" s="146" t="s">
        <v>922</v>
      </c>
      <c r="C29" s="157" t="s">
        <v>496</v>
      </c>
      <c r="D29" s="149" t="s">
        <v>916</v>
      </c>
      <c r="E29" s="149" t="s">
        <v>917</v>
      </c>
      <c r="F29" s="150">
        <f t="shared" ref="F29:Q29" si="14">((F11/100)*$S$11)*$T$2</f>
        <v>2273.768074405803</v>
      </c>
      <c r="G29" s="150">
        <f t="shared" si="14"/>
        <v>4547.5361488116059</v>
      </c>
      <c r="H29" s="150">
        <f t="shared" si="14"/>
        <v>6821.3042232174084</v>
      </c>
      <c r="I29" s="150">
        <f t="shared" si="14"/>
        <v>9095.0722976232119</v>
      </c>
      <c r="J29" s="150">
        <f t="shared" si="14"/>
        <v>9095.0722976232119</v>
      </c>
      <c r="K29" s="150">
        <f t="shared" si="14"/>
        <v>9095.0722976232119</v>
      </c>
      <c r="L29" s="150">
        <f t="shared" si="14"/>
        <v>4547.5361488116059</v>
      </c>
      <c r="M29" s="150">
        <f t="shared" si="14"/>
        <v>0</v>
      </c>
      <c r="N29" s="150">
        <f t="shared" si="14"/>
        <v>0</v>
      </c>
      <c r="O29" s="150">
        <f t="shared" si="14"/>
        <v>0</v>
      </c>
      <c r="P29" s="150">
        <f t="shared" si="14"/>
        <v>0</v>
      </c>
      <c r="Q29" s="151">
        <f t="shared" si="14"/>
        <v>0</v>
      </c>
      <c r="R29" s="156">
        <f t="shared" si="11"/>
        <v>7</v>
      </c>
      <c r="S29" s="153">
        <f t="shared" si="8"/>
        <v>45475.361488116061</v>
      </c>
      <c r="T29" s="154">
        <f t="shared" si="9"/>
        <v>9.8858757248052473E-2</v>
      </c>
      <c r="U29" s="534"/>
      <c r="V29" s="534"/>
      <c r="W29" s="534"/>
      <c r="X29" s="534"/>
    </row>
    <row r="30" spans="1:24">
      <c r="A30" s="82"/>
      <c r="B30" s="146" t="s">
        <v>923</v>
      </c>
      <c r="C30" s="158"/>
      <c r="D30" s="149" t="s">
        <v>919</v>
      </c>
      <c r="E30" s="149" t="s">
        <v>917</v>
      </c>
      <c r="F30" s="150">
        <f t="shared" ref="F30:Q30" si="15">((F11/100)*$S$11)*$T$3</f>
        <v>1545.4859255941974</v>
      </c>
      <c r="G30" s="150">
        <f t="shared" si="15"/>
        <v>3090.9718511883948</v>
      </c>
      <c r="H30" s="150">
        <f t="shared" si="15"/>
        <v>4636.4577767825922</v>
      </c>
      <c r="I30" s="150">
        <f t="shared" si="15"/>
        <v>6181.9437023767896</v>
      </c>
      <c r="J30" s="150">
        <f t="shared" si="15"/>
        <v>6181.9437023767896</v>
      </c>
      <c r="K30" s="150">
        <f t="shared" si="15"/>
        <v>6181.9437023767896</v>
      </c>
      <c r="L30" s="150">
        <f t="shared" si="15"/>
        <v>3090.9718511883948</v>
      </c>
      <c r="M30" s="150">
        <f t="shared" si="15"/>
        <v>0</v>
      </c>
      <c r="N30" s="150">
        <f t="shared" si="15"/>
        <v>0</v>
      </c>
      <c r="O30" s="150">
        <f t="shared" si="15"/>
        <v>0</v>
      </c>
      <c r="P30" s="150">
        <f t="shared" si="15"/>
        <v>0</v>
      </c>
      <c r="Q30" s="151">
        <f t="shared" si="15"/>
        <v>0</v>
      </c>
      <c r="R30" s="156">
        <f t="shared" si="11"/>
        <v>7</v>
      </c>
      <c r="S30" s="153">
        <f t="shared" si="8"/>
        <v>30909.718511883948</v>
      </c>
      <c r="T30" s="154">
        <f t="shared" si="9"/>
        <v>6.7194547970124544E-2</v>
      </c>
      <c r="U30" s="578"/>
      <c r="V30" s="534"/>
      <c r="W30" s="534"/>
      <c r="X30" s="534"/>
    </row>
    <row r="31" spans="1:24">
      <c r="A31" s="82"/>
      <c r="B31" s="146" t="s">
        <v>924</v>
      </c>
      <c r="C31" s="157" t="s">
        <v>491</v>
      </c>
      <c r="D31" s="149" t="s">
        <v>916</v>
      </c>
      <c r="E31" s="149" t="s">
        <v>917</v>
      </c>
      <c r="F31" s="150">
        <f>((F12/100)*$S$12)*T2</f>
        <v>0</v>
      </c>
      <c r="G31" s="150">
        <f t="shared" ref="G31:Q31" si="16">((G12/100)*$S$12)*$T$2</f>
        <v>0</v>
      </c>
      <c r="H31" s="150">
        <f t="shared" si="16"/>
        <v>11340.490114176773</v>
      </c>
      <c r="I31" s="150">
        <f t="shared" si="16"/>
        <v>28351.225285441931</v>
      </c>
      <c r="J31" s="150">
        <f t="shared" si="16"/>
        <v>28351.225285441931</v>
      </c>
      <c r="K31" s="150">
        <f t="shared" si="16"/>
        <v>22680.980228353546</v>
      </c>
      <c r="L31" s="150">
        <f t="shared" si="16"/>
        <v>11340.490114176773</v>
      </c>
      <c r="M31" s="150">
        <f t="shared" si="16"/>
        <v>11340.490114176773</v>
      </c>
      <c r="N31" s="150">
        <f t="shared" si="16"/>
        <v>0</v>
      </c>
      <c r="O31" s="150">
        <f t="shared" si="16"/>
        <v>0</v>
      </c>
      <c r="P31" s="150">
        <f t="shared" si="16"/>
        <v>0</v>
      </c>
      <c r="Q31" s="151">
        <f t="shared" si="16"/>
        <v>0</v>
      </c>
      <c r="R31" s="156">
        <f t="shared" si="11"/>
        <v>6</v>
      </c>
      <c r="S31" s="153">
        <f t="shared" si="8"/>
        <v>113404.90114176774</v>
      </c>
      <c r="T31" s="154">
        <f t="shared" si="9"/>
        <v>0.24653058768192881</v>
      </c>
      <c r="U31" s="534"/>
      <c r="V31" s="534"/>
      <c r="W31" s="534"/>
      <c r="X31" s="534"/>
    </row>
    <row r="32" spans="1:24">
      <c r="A32" s="82"/>
      <c r="B32" s="146" t="s">
        <v>925</v>
      </c>
      <c r="C32" s="158"/>
      <c r="D32" s="149" t="s">
        <v>919</v>
      </c>
      <c r="E32" s="149" t="s">
        <v>917</v>
      </c>
      <c r="F32" s="150">
        <f t="shared" ref="F32:Q32" si="17">((F12/100)*$S$12)*$T$3</f>
        <v>0</v>
      </c>
      <c r="G32" s="150">
        <f t="shared" si="17"/>
        <v>0</v>
      </c>
      <c r="H32" s="150">
        <f t="shared" si="17"/>
        <v>7708.1598858232283</v>
      </c>
      <c r="I32" s="150">
        <f t="shared" si="17"/>
        <v>19270.399714558069</v>
      </c>
      <c r="J32" s="150">
        <f t="shared" si="17"/>
        <v>19270.399714558069</v>
      </c>
      <c r="K32" s="150">
        <f t="shared" si="17"/>
        <v>15416.319771646457</v>
      </c>
      <c r="L32" s="150">
        <f t="shared" si="17"/>
        <v>7708.1598858232283</v>
      </c>
      <c r="M32" s="150">
        <f t="shared" si="17"/>
        <v>7708.1598858232283</v>
      </c>
      <c r="N32" s="150">
        <f t="shared" si="17"/>
        <v>0</v>
      </c>
      <c r="O32" s="150">
        <f t="shared" si="17"/>
        <v>0</v>
      </c>
      <c r="P32" s="150">
        <f t="shared" si="17"/>
        <v>0</v>
      </c>
      <c r="Q32" s="151">
        <f t="shared" si="17"/>
        <v>0</v>
      </c>
      <c r="R32" s="156">
        <f t="shared" si="11"/>
        <v>6</v>
      </c>
      <c r="S32" s="153">
        <f t="shared" si="8"/>
        <v>77081.598858232275</v>
      </c>
      <c r="T32" s="154">
        <f t="shared" si="9"/>
        <v>0.16756746555624641</v>
      </c>
      <c r="U32" s="578"/>
      <c r="V32" s="534"/>
      <c r="W32" s="534"/>
      <c r="X32" s="534"/>
    </row>
    <row r="33" spans="1:24">
      <c r="A33" s="82"/>
      <c r="B33" s="146" t="s">
        <v>926</v>
      </c>
      <c r="C33" s="157" t="s">
        <v>492</v>
      </c>
      <c r="D33" s="149" t="s">
        <v>916</v>
      </c>
      <c r="E33" s="149" t="s">
        <v>917</v>
      </c>
      <c r="F33" s="150">
        <f t="shared" ref="F33:Q33" si="18">((F13/100)*$S$13)*$T$2</f>
        <v>0</v>
      </c>
      <c r="G33" s="150">
        <f t="shared" si="18"/>
        <v>0</v>
      </c>
      <c r="H33" s="150">
        <f t="shared" si="18"/>
        <v>0</v>
      </c>
      <c r="I33" s="150">
        <f t="shared" si="18"/>
        <v>0</v>
      </c>
      <c r="J33" s="150">
        <f t="shared" si="18"/>
        <v>0</v>
      </c>
      <c r="K33" s="150">
        <f t="shared" si="18"/>
        <v>0</v>
      </c>
      <c r="L33" s="150">
        <f t="shared" si="18"/>
        <v>0</v>
      </c>
      <c r="M33" s="150">
        <f t="shared" si="18"/>
        <v>0</v>
      </c>
      <c r="N33" s="150">
        <f t="shared" si="18"/>
        <v>0</v>
      </c>
      <c r="O33" s="150">
        <f t="shared" si="18"/>
        <v>0</v>
      </c>
      <c r="P33" s="150">
        <f t="shared" si="18"/>
        <v>0</v>
      </c>
      <c r="Q33" s="151">
        <f t="shared" si="18"/>
        <v>0</v>
      </c>
      <c r="R33" s="156">
        <f t="shared" si="11"/>
        <v>0</v>
      </c>
      <c r="S33" s="153">
        <f t="shared" si="8"/>
        <v>0</v>
      </c>
      <c r="T33" s="154">
        <f t="shared" si="9"/>
        <v>0</v>
      </c>
      <c r="U33" s="534"/>
      <c r="V33" s="534"/>
      <c r="W33" s="534"/>
      <c r="X33" s="534"/>
    </row>
    <row r="34" spans="1:24">
      <c r="A34" s="82"/>
      <c r="B34" s="146" t="s">
        <v>927</v>
      </c>
      <c r="C34" s="158"/>
      <c r="D34" s="149" t="s">
        <v>919</v>
      </c>
      <c r="E34" s="149" t="s">
        <v>917</v>
      </c>
      <c r="F34" s="150">
        <f t="shared" ref="F34:Q34" si="19">((F13/100)*$S$13)*$T$3</f>
        <v>0</v>
      </c>
      <c r="G34" s="150">
        <f t="shared" si="19"/>
        <v>0</v>
      </c>
      <c r="H34" s="150">
        <f t="shared" si="19"/>
        <v>0</v>
      </c>
      <c r="I34" s="150">
        <f t="shared" si="19"/>
        <v>0</v>
      </c>
      <c r="J34" s="150">
        <f t="shared" si="19"/>
        <v>0</v>
      </c>
      <c r="K34" s="150">
        <f t="shared" si="19"/>
        <v>0</v>
      </c>
      <c r="L34" s="150">
        <f t="shared" si="19"/>
        <v>0</v>
      </c>
      <c r="M34" s="150">
        <f t="shared" si="19"/>
        <v>0</v>
      </c>
      <c r="N34" s="150">
        <f t="shared" si="19"/>
        <v>0</v>
      </c>
      <c r="O34" s="150">
        <f t="shared" si="19"/>
        <v>0</v>
      </c>
      <c r="P34" s="150">
        <f t="shared" si="19"/>
        <v>0</v>
      </c>
      <c r="Q34" s="151">
        <f t="shared" si="19"/>
        <v>0</v>
      </c>
      <c r="R34" s="156">
        <f t="shared" si="11"/>
        <v>0</v>
      </c>
      <c r="S34" s="153">
        <f t="shared" si="8"/>
        <v>0</v>
      </c>
      <c r="T34" s="154">
        <f t="shared" si="9"/>
        <v>0</v>
      </c>
      <c r="U34" s="578"/>
      <c r="V34" s="534"/>
      <c r="W34" s="534"/>
      <c r="X34" s="534"/>
    </row>
    <row r="35" spans="1:24">
      <c r="A35" s="82"/>
      <c r="B35" s="146" t="s">
        <v>928</v>
      </c>
      <c r="C35" s="157" t="s">
        <v>836</v>
      </c>
      <c r="D35" s="149" t="s">
        <v>916</v>
      </c>
      <c r="E35" s="149" t="s">
        <v>917</v>
      </c>
      <c r="F35" s="150">
        <f t="shared" ref="F35:Q35" si="20">((F14/100)*$S$14)*$T$2</f>
        <v>0</v>
      </c>
      <c r="G35" s="150">
        <f t="shared" si="20"/>
        <v>0</v>
      </c>
      <c r="H35" s="150">
        <f t="shared" si="20"/>
        <v>308.27035681510336</v>
      </c>
      <c r="I35" s="150">
        <f t="shared" si="20"/>
        <v>1233.0814272604134</v>
      </c>
      <c r="J35" s="150">
        <f t="shared" si="20"/>
        <v>1233.0814272604134</v>
      </c>
      <c r="K35" s="150">
        <f t="shared" si="20"/>
        <v>1541.3517840755167</v>
      </c>
      <c r="L35" s="150">
        <f t="shared" si="20"/>
        <v>1233.0814272604134</v>
      </c>
      <c r="M35" s="150">
        <f t="shared" si="20"/>
        <v>616.54071363020671</v>
      </c>
      <c r="N35" s="150">
        <f t="shared" si="20"/>
        <v>0</v>
      </c>
      <c r="O35" s="150">
        <f t="shared" si="20"/>
        <v>0</v>
      </c>
      <c r="P35" s="150">
        <f t="shared" si="20"/>
        <v>0</v>
      </c>
      <c r="Q35" s="151">
        <f t="shared" si="20"/>
        <v>0</v>
      </c>
      <c r="R35" s="156">
        <f t="shared" si="11"/>
        <v>6</v>
      </c>
      <c r="S35" s="153">
        <f t="shared" si="8"/>
        <v>6165.4071363020657</v>
      </c>
      <c r="T35" s="154">
        <f t="shared" si="9"/>
        <v>1.3402960800704711E-2</v>
      </c>
      <c r="U35" s="534"/>
      <c r="V35" s="534"/>
      <c r="W35" s="534"/>
      <c r="X35" s="534"/>
    </row>
    <row r="36" spans="1:24">
      <c r="A36" s="82"/>
      <c r="B36" s="146" t="s">
        <v>929</v>
      </c>
      <c r="C36" s="158"/>
      <c r="D36" s="149" t="s">
        <v>919</v>
      </c>
      <c r="E36" s="149" t="s">
        <v>917</v>
      </c>
      <c r="F36" s="150">
        <f t="shared" ref="F36:Q36" si="21">((F14/100)*$S$14)*$T$3</f>
        <v>0</v>
      </c>
      <c r="G36" s="150">
        <f t="shared" si="21"/>
        <v>0</v>
      </c>
      <c r="H36" s="150">
        <f t="shared" si="21"/>
        <v>209.53214318489665</v>
      </c>
      <c r="I36" s="150">
        <f t="shared" si="21"/>
        <v>838.12857273958662</v>
      </c>
      <c r="J36" s="150">
        <f t="shared" si="21"/>
        <v>838.12857273958662</v>
      </c>
      <c r="K36" s="150">
        <f t="shared" si="21"/>
        <v>1047.6607159244832</v>
      </c>
      <c r="L36" s="150">
        <f t="shared" si="21"/>
        <v>838.12857273958662</v>
      </c>
      <c r="M36" s="150">
        <f t="shared" si="21"/>
        <v>419.06428636979331</v>
      </c>
      <c r="N36" s="150">
        <f t="shared" si="21"/>
        <v>0</v>
      </c>
      <c r="O36" s="150">
        <f t="shared" si="21"/>
        <v>0</v>
      </c>
      <c r="P36" s="150">
        <f t="shared" si="21"/>
        <v>0</v>
      </c>
      <c r="Q36" s="151">
        <f t="shared" si="21"/>
        <v>0</v>
      </c>
      <c r="R36" s="156">
        <f t="shared" si="11"/>
        <v>6</v>
      </c>
      <c r="S36" s="153">
        <f t="shared" si="8"/>
        <v>4190.6428636979326</v>
      </c>
      <c r="T36" s="154">
        <f t="shared" si="9"/>
        <v>9.1100264411061432E-3</v>
      </c>
      <c r="U36" s="578"/>
      <c r="V36" s="534"/>
      <c r="W36" s="534"/>
      <c r="X36" s="534"/>
    </row>
    <row r="37" spans="1:24">
      <c r="A37" s="82"/>
      <c r="B37" s="146" t="s">
        <v>930</v>
      </c>
      <c r="C37" s="157" t="s">
        <v>499</v>
      </c>
      <c r="D37" s="149" t="s">
        <v>916</v>
      </c>
      <c r="E37" s="149" t="s">
        <v>917</v>
      </c>
      <c r="F37" s="150">
        <f t="shared" ref="F37:Q37" si="22">((F15/100)*$S$15)*$T$2</f>
        <v>0</v>
      </c>
      <c r="G37" s="150">
        <f t="shared" si="22"/>
        <v>0</v>
      </c>
      <c r="H37" s="150">
        <f t="shared" si="22"/>
        <v>3368.9098992151512</v>
      </c>
      <c r="I37" s="150">
        <f t="shared" si="22"/>
        <v>10106.729697645453</v>
      </c>
      <c r="J37" s="150">
        <f t="shared" si="22"/>
        <v>13475.639596860605</v>
      </c>
      <c r="K37" s="150">
        <f t="shared" si="22"/>
        <v>16844.549496075757</v>
      </c>
      <c r="L37" s="150">
        <f t="shared" si="22"/>
        <v>16844.549496075757</v>
      </c>
      <c r="M37" s="150">
        <f t="shared" si="22"/>
        <v>6737.8197984303024</v>
      </c>
      <c r="N37" s="150">
        <f t="shared" si="22"/>
        <v>0</v>
      </c>
      <c r="O37" s="150">
        <f t="shared" si="22"/>
        <v>0</v>
      </c>
      <c r="P37" s="150">
        <f t="shared" si="22"/>
        <v>0</v>
      </c>
      <c r="Q37" s="151">
        <f t="shared" si="22"/>
        <v>0</v>
      </c>
      <c r="R37" s="156">
        <f t="shared" si="11"/>
        <v>6</v>
      </c>
      <c r="S37" s="153">
        <f t="shared" si="8"/>
        <v>67378.197984303028</v>
      </c>
      <c r="T37" s="154">
        <f t="shared" si="9"/>
        <v>0.1464732703682215</v>
      </c>
      <c r="U37" s="534"/>
      <c r="V37" s="534"/>
      <c r="W37" s="534"/>
      <c r="X37" s="534"/>
    </row>
    <row r="38" spans="1:24">
      <c r="A38" s="82"/>
      <c r="B38" s="146" t="s">
        <v>931</v>
      </c>
      <c r="C38" s="158"/>
      <c r="D38" s="149" t="s">
        <v>919</v>
      </c>
      <c r="E38" s="149" t="s">
        <v>917</v>
      </c>
      <c r="F38" s="150">
        <f t="shared" ref="F38:Q38" si="23">((F15/100)*$S$15)*$T$3</f>
        <v>0</v>
      </c>
      <c r="G38" s="150">
        <f t="shared" si="23"/>
        <v>0</v>
      </c>
      <c r="H38" s="150">
        <f t="shared" si="23"/>
        <v>2289.8566007848485</v>
      </c>
      <c r="I38" s="150">
        <f t="shared" si="23"/>
        <v>6869.5698023545447</v>
      </c>
      <c r="J38" s="150">
        <f t="shared" si="23"/>
        <v>9159.4264031393941</v>
      </c>
      <c r="K38" s="150">
        <f t="shared" si="23"/>
        <v>11449.283003924242</v>
      </c>
      <c r="L38" s="150">
        <f t="shared" si="23"/>
        <v>11449.283003924242</v>
      </c>
      <c r="M38" s="150">
        <f t="shared" si="23"/>
        <v>4579.713201569697</v>
      </c>
      <c r="N38" s="150">
        <f t="shared" si="23"/>
        <v>0</v>
      </c>
      <c r="O38" s="150">
        <f t="shared" si="23"/>
        <v>0</v>
      </c>
      <c r="P38" s="150">
        <f t="shared" si="23"/>
        <v>0</v>
      </c>
      <c r="Q38" s="151">
        <f t="shared" si="23"/>
        <v>0</v>
      </c>
      <c r="R38" s="156">
        <f t="shared" si="11"/>
        <v>6</v>
      </c>
      <c r="S38" s="153">
        <f t="shared" si="8"/>
        <v>45797.132015696967</v>
      </c>
      <c r="T38" s="154">
        <f t="shared" si="9"/>
        <v>9.95582532703988E-2</v>
      </c>
      <c r="U38" s="578"/>
      <c r="V38" s="534"/>
      <c r="W38" s="534"/>
      <c r="X38" s="534"/>
    </row>
    <row r="39" spans="1:24">
      <c r="A39" s="82"/>
      <c r="B39" s="146" t="s">
        <v>932</v>
      </c>
      <c r="C39" s="157" t="s">
        <v>501</v>
      </c>
      <c r="D39" s="149" t="s">
        <v>916</v>
      </c>
      <c r="E39" s="149" t="s">
        <v>917</v>
      </c>
      <c r="F39" s="150">
        <f t="shared" ref="F39:Q39" si="24">((F16/100)*$S$16)*$T$2</f>
        <v>0</v>
      </c>
      <c r="G39" s="150">
        <f t="shared" si="24"/>
        <v>0</v>
      </c>
      <c r="H39" s="150">
        <f t="shared" si="24"/>
        <v>0</v>
      </c>
      <c r="I39" s="150">
        <f t="shared" si="24"/>
        <v>0</v>
      </c>
      <c r="J39" s="150">
        <f t="shared" si="24"/>
        <v>0</v>
      </c>
      <c r="K39" s="150">
        <f t="shared" si="24"/>
        <v>0</v>
      </c>
      <c r="L39" s="150">
        <f t="shared" si="24"/>
        <v>0</v>
      </c>
      <c r="M39" s="150">
        <f t="shared" si="24"/>
        <v>0</v>
      </c>
      <c r="N39" s="150">
        <f t="shared" si="24"/>
        <v>0</v>
      </c>
      <c r="O39" s="150">
        <f t="shared" si="24"/>
        <v>0</v>
      </c>
      <c r="P39" s="150">
        <f t="shared" si="24"/>
        <v>0</v>
      </c>
      <c r="Q39" s="151">
        <f t="shared" si="24"/>
        <v>0</v>
      </c>
      <c r="R39" s="156">
        <f t="shared" si="11"/>
        <v>0</v>
      </c>
      <c r="S39" s="153">
        <f t="shared" si="8"/>
        <v>0</v>
      </c>
      <c r="T39" s="154">
        <f t="shared" si="9"/>
        <v>0</v>
      </c>
      <c r="U39" s="534"/>
      <c r="V39" s="534"/>
      <c r="W39" s="534"/>
      <c r="X39" s="534"/>
    </row>
    <row r="40" spans="1:24">
      <c r="A40" s="82"/>
      <c r="B40" s="146" t="s">
        <v>933</v>
      </c>
      <c r="C40" s="158"/>
      <c r="D40" s="149" t="s">
        <v>919</v>
      </c>
      <c r="E40" s="149" t="s">
        <v>917</v>
      </c>
      <c r="F40" s="150">
        <f t="shared" ref="F40:Q40" si="25">((F16/100)*$S$16)*$T$3</f>
        <v>0</v>
      </c>
      <c r="G40" s="150">
        <f t="shared" si="25"/>
        <v>0</v>
      </c>
      <c r="H40" s="150">
        <f t="shared" si="25"/>
        <v>0</v>
      </c>
      <c r="I40" s="150">
        <f t="shared" si="25"/>
        <v>0</v>
      </c>
      <c r="J40" s="150">
        <f t="shared" si="25"/>
        <v>0</v>
      </c>
      <c r="K40" s="150">
        <f t="shared" si="25"/>
        <v>0</v>
      </c>
      <c r="L40" s="150">
        <f t="shared" si="25"/>
        <v>0</v>
      </c>
      <c r="M40" s="150">
        <f t="shared" si="25"/>
        <v>0</v>
      </c>
      <c r="N40" s="150">
        <f t="shared" si="25"/>
        <v>0</v>
      </c>
      <c r="O40" s="150">
        <f t="shared" si="25"/>
        <v>0</v>
      </c>
      <c r="P40" s="150">
        <f t="shared" si="25"/>
        <v>0</v>
      </c>
      <c r="Q40" s="151">
        <f t="shared" si="25"/>
        <v>0</v>
      </c>
      <c r="R40" s="156">
        <f t="shared" si="11"/>
        <v>0</v>
      </c>
      <c r="S40" s="153">
        <f t="shared" si="8"/>
        <v>0</v>
      </c>
      <c r="T40" s="154">
        <f t="shared" si="9"/>
        <v>0</v>
      </c>
      <c r="U40" s="578"/>
      <c r="V40" s="534"/>
      <c r="W40" s="534"/>
      <c r="X40" s="534"/>
    </row>
    <row r="41" spans="1:24">
      <c r="A41" s="82"/>
      <c r="B41" s="146" t="s">
        <v>934</v>
      </c>
      <c r="C41" s="157" t="s">
        <v>503</v>
      </c>
      <c r="D41" s="149" t="s">
        <v>916</v>
      </c>
      <c r="E41" s="149" t="s">
        <v>917</v>
      </c>
      <c r="F41" s="150">
        <f t="shared" ref="F41:Q41" si="26">((F17/100)*$S$17)*$T$2</f>
        <v>0</v>
      </c>
      <c r="G41" s="150">
        <f t="shared" si="26"/>
        <v>0</v>
      </c>
      <c r="H41" s="150">
        <f t="shared" si="26"/>
        <v>0</v>
      </c>
      <c r="I41" s="150">
        <f t="shared" si="26"/>
        <v>0</v>
      </c>
      <c r="J41" s="150">
        <f t="shared" si="26"/>
        <v>0</v>
      </c>
      <c r="K41" s="150">
        <f t="shared" si="26"/>
        <v>0</v>
      </c>
      <c r="L41" s="150">
        <f t="shared" si="26"/>
        <v>0</v>
      </c>
      <c r="M41" s="150">
        <f t="shared" si="26"/>
        <v>0</v>
      </c>
      <c r="N41" s="150">
        <f t="shared" si="26"/>
        <v>0</v>
      </c>
      <c r="O41" s="150">
        <f t="shared" si="26"/>
        <v>0</v>
      </c>
      <c r="P41" s="150">
        <f t="shared" si="26"/>
        <v>0</v>
      </c>
      <c r="Q41" s="151">
        <f t="shared" si="26"/>
        <v>0</v>
      </c>
      <c r="R41" s="156">
        <f t="shared" si="11"/>
        <v>0</v>
      </c>
      <c r="S41" s="153">
        <f t="shared" si="8"/>
        <v>0</v>
      </c>
      <c r="T41" s="154">
        <f t="shared" si="9"/>
        <v>0</v>
      </c>
      <c r="U41" s="534"/>
      <c r="V41" s="534"/>
      <c r="W41" s="534"/>
      <c r="X41" s="534"/>
    </row>
    <row r="42" spans="1:24">
      <c r="A42" s="82"/>
      <c r="B42" s="146" t="s">
        <v>935</v>
      </c>
      <c r="C42" s="158"/>
      <c r="D42" s="149" t="s">
        <v>919</v>
      </c>
      <c r="E42" s="149" t="s">
        <v>917</v>
      </c>
      <c r="F42" s="150">
        <f t="shared" ref="F42:Q42" si="27">((F17/100)*$S$17)*$T$3</f>
        <v>0</v>
      </c>
      <c r="G42" s="150">
        <f t="shared" si="27"/>
        <v>0</v>
      </c>
      <c r="H42" s="150">
        <f t="shared" si="27"/>
        <v>0</v>
      </c>
      <c r="I42" s="150">
        <f t="shared" si="27"/>
        <v>0</v>
      </c>
      <c r="J42" s="150">
        <f t="shared" si="27"/>
        <v>0</v>
      </c>
      <c r="K42" s="150">
        <f t="shared" si="27"/>
        <v>0</v>
      </c>
      <c r="L42" s="150">
        <f t="shared" si="27"/>
        <v>0</v>
      </c>
      <c r="M42" s="150">
        <f t="shared" si="27"/>
        <v>0</v>
      </c>
      <c r="N42" s="150">
        <f t="shared" si="27"/>
        <v>0</v>
      </c>
      <c r="O42" s="150">
        <f t="shared" si="27"/>
        <v>0</v>
      </c>
      <c r="P42" s="150">
        <f t="shared" si="27"/>
        <v>0</v>
      </c>
      <c r="Q42" s="151">
        <f t="shared" si="27"/>
        <v>0</v>
      </c>
      <c r="R42" s="156">
        <f t="shared" si="11"/>
        <v>0</v>
      </c>
      <c r="S42" s="153">
        <f t="shared" si="8"/>
        <v>0</v>
      </c>
      <c r="T42" s="154">
        <f t="shared" si="9"/>
        <v>0</v>
      </c>
      <c r="U42" s="578"/>
      <c r="V42" s="534"/>
      <c r="W42" s="534"/>
      <c r="X42" s="534"/>
    </row>
    <row r="43" spans="1:24">
      <c r="A43" s="82"/>
      <c r="B43" s="146" t="s">
        <v>936</v>
      </c>
      <c r="C43" s="157" t="s">
        <v>493</v>
      </c>
      <c r="D43" s="149" t="s">
        <v>916</v>
      </c>
      <c r="E43" s="149" t="s">
        <v>917</v>
      </c>
      <c r="F43" s="150">
        <f t="shared" ref="F43:Q43" si="28">((F18/100)*$S$18)*$T$2</f>
        <v>0</v>
      </c>
      <c r="G43" s="150">
        <f t="shared" si="28"/>
        <v>0</v>
      </c>
      <c r="H43" s="150">
        <f t="shared" si="28"/>
        <v>0</v>
      </c>
      <c r="I43" s="150">
        <f t="shared" si="28"/>
        <v>0</v>
      </c>
      <c r="J43" s="150">
        <f t="shared" si="28"/>
        <v>0</v>
      </c>
      <c r="K43" s="150">
        <f t="shared" si="28"/>
        <v>0</v>
      </c>
      <c r="L43" s="150">
        <f t="shared" si="28"/>
        <v>0</v>
      </c>
      <c r="M43" s="150">
        <f t="shared" si="28"/>
        <v>0</v>
      </c>
      <c r="N43" s="150">
        <f t="shared" si="28"/>
        <v>0</v>
      </c>
      <c r="O43" s="150">
        <f t="shared" si="28"/>
        <v>0</v>
      </c>
      <c r="P43" s="150">
        <f t="shared" si="28"/>
        <v>0</v>
      </c>
      <c r="Q43" s="151">
        <f t="shared" si="28"/>
        <v>0</v>
      </c>
      <c r="R43" s="156">
        <f t="shared" si="11"/>
        <v>0</v>
      </c>
      <c r="S43" s="153">
        <f t="shared" si="8"/>
        <v>0</v>
      </c>
      <c r="T43" s="154">
        <f t="shared" si="9"/>
        <v>0</v>
      </c>
      <c r="U43" s="534"/>
      <c r="V43" s="534"/>
      <c r="W43" s="534"/>
      <c r="X43" s="534"/>
    </row>
    <row r="44" spans="1:24">
      <c r="A44" s="82"/>
      <c r="B44" s="146" t="s">
        <v>937</v>
      </c>
      <c r="C44" s="158"/>
      <c r="D44" s="149" t="s">
        <v>919</v>
      </c>
      <c r="E44" s="149" t="s">
        <v>917</v>
      </c>
      <c r="F44" s="150">
        <f t="shared" ref="F44:Q44" si="29">((F18/100)*$S$18)*$T$3</f>
        <v>0</v>
      </c>
      <c r="G44" s="150">
        <f t="shared" si="29"/>
        <v>0</v>
      </c>
      <c r="H44" s="150">
        <f t="shared" si="29"/>
        <v>0</v>
      </c>
      <c r="I44" s="150">
        <f t="shared" si="29"/>
        <v>0</v>
      </c>
      <c r="J44" s="150">
        <f t="shared" si="29"/>
        <v>0</v>
      </c>
      <c r="K44" s="150">
        <f t="shared" si="29"/>
        <v>0</v>
      </c>
      <c r="L44" s="150">
        <f t="shared" si="29"/>
        <v>0</v>
      </c>
      <c r="M44" s="150">
        <f t="shared" si="29"/>
        <v>0</v>
      </c>
      <c r="N44" s="150">
        <f t="shared" si="29"/>
        <v>0</v>
      </c>
      <c r="O44" s="150">
        <f t="shared" si="29"/>
        <v>0</v>
      </c>
      <c r="P44" s="150">
        <f t="shared" si="29"/>
        <v>0</v>
      </c>
      <c r="Q44" s="151">
        <f t="shared" si="29"/>
        <v>0</v>
      </c>
      <c r="R44" s="156">
        <f t="shared" si="11"/>
        <v>0</v>
      </c>
      <c r="S44" s="153">
        <f t="shared" si="8"/>
        <v>0</v>
      </c>
      <c r="T44" s="154">
        <f t="shared" si="9"/>
        <v>0</v>
      </c>
      <c r="U44" s="578"/>
      <c r="V44" s="534"/>
      <c r="W44" s="534"/>
      <c r="X44" s="534"/>
    </row>
    <row r="45" spans="1:24">
      <c r="A45" s="82"/>
      <c r="B45" s="146" t="s">
        <v>938</v>
      </c>
      <c r="C45" s="157" t="s">
        <v>796</v>
      </c>
      <c r="D45" s="149" t="s">
        <v>916</v>
      </c>
      <c r="E45" s="149" t="s">
        <v>917</v>
      </c>
      <c r="F45" s="150">
        <f t="shared" ref="F45:Q45" si="30">((F19/100)*$S$19)*$T$2</f>
        <v>171.76088853902093</v>
      </c>
      <c r="G45" s="150">
        <f t="shared" si="30"/>
        <v>171.76088853902093</v>
      </c>
      <c r="H45" s="150">
        <f t="shared" si="30"/>
        <v>1116.445775503636</v>
      </c>
      <c r="I45" s="150">
        <f t="shared" si="30"/>
        <v>1288.2066640426569</v>
      </c>
      <c r="J45" s="150">
        <f t="shared" si="30"/>
        <v>1288.2066640426569</v>
      </c>
      <c r="K45" s="150">
        <f t="shared" si="30"/>
        <v>1889.3697739292302</v>
      </c>
      <c r="L45" s="150">
        <f t="shared" si="30"/>
        <v>1975.2502181987406</v>
      </c>
      <c r="M45" s="150">
        <f t="shared" si="30"/>
        <v>687.0435541560837</v>
      </c>
      <c r="N45" s="150">
        <f t="shared" si="30"/>
        <v>0</v>
      </c>
      <c r="O45" s="150">
        <f t="shared" si="30"/>
        <v>0</v>
      </c>
      <c r="P45" s="150">
        <f t="shared" si="30"/>
        <v>0</v>
      </c>
      <c r="Q45" s="151">
        <f t="shared" si="30"/>
        <v>0</v>
      </c>
      <c r="R45" s="156">
        <f t="shared" si="11"/>
        <v>8</v>
      </c>
      <c r="S45" s="153">
        <f t="shared" si="8"/>
        <v>8588.0444269510463</v>
      </c>
      <c r="T45" s="154">
        <f t="shared" si="9"/>
        <v>1.8669525023155911E-2</v>
      </c>
      <c r="U45" s="534"/>
      <c r="V45" s="534"/>
      <c r="W45" s="534"/>
      <c r="X45" s="534"/>
    </row>
    <row r="46" spans="1:24">
      <c r="A46" s="82"/>
      <c r="B46" s="146" t="s">
        <v>939</v>
      </c>
      <c r="C46" s="158"/>
      <c r="D46" s="149" t="s">
        <v>919</v>
      </c>
      <c r="E46" s="149" t="s">
        <v>917</v>
      </c>
      <c r="F46" s="150">
        <f t="shared" ref="F46:Q46" si="31">((F19/100)*$S$19)*$T$3</f>
        <v>116.74631146097907</v>
      </c>
      <c r="G46" s="150">
        <f t="shared" si="31"/>
        <v>116.74631146097907</v>
      </c>
      <c r="H46" s="150">
        <f t="shared" si="31"/>
        <v>758.85102449636395</v>
      </c>
      <c r="I46" s="150">
        <f t="shared" si="31"/>
        <v>875.59733595734303</v>
      </c>
      <c r="J46" s="150">
        <f t="shared" si="31"/>
        <v>875.59733595734303</v>
      </c>
      <c r="K46" s="150">
        <f t="shared" si="31"/>
        <v>1284.20942607077</v>
      </c>
      <c r="L46" s="150">
        <f t="shared" si="31"/>
        <v>1342.5825818012595</v>
      </c>
      <c r="M46" s="150">
        <f t="shared" si="31"/>
        <v>466.98524584391629</v>
      </c>
      <c r="N46" s="150">
        <f t="shared" si="31"/>
        <v>0</v>
      </c>
      <c r="O46" s="150">
        <f t="shared" si="31"/>
        <v>0</v>
      </c>
      <c r="P46" s="150">
        <f t="shared" si="31"/>
        <v>0</v>
      </c>
      <c r="Q46" s="151">
        <f t="shared" si="31"/>
        <v>0</v>
      </c>
      <c r="R46" s="156">
        <f t="shared" si="11"/>
        <v>8</v>
      </c>
      <c r="S46" s="153">
        <f t="shared" si="8"/>
        <v>5837.3155730489543</v>
      </c>
      <c r="T46" s="154">
        <f t="shared" si="9"/>
        <v>1.2689723497132106E-2</v>
      </c>
      <c r="U46" s="578"/>
      <c r="V46" s="534"/>
      <c r="W46" s="534"/>
      <c r="X46" s="534"/>
    </row>
    <row r="47" spans="1:24">
      <c r="A47" s="82"/>
      <c r="B47" s="159"/>
      <c r="C47" s="160"/>
      <c r="D47" s="160"/>
      <c r="E47" s="160"/>
      <c r="F47" s="161"/>
      <c r="G47" s="161"/>
      <c r="H47" s="161"/>
      <c r="I47" s="161"/>
      <c r="J47" s="161"/>
      <c r="K47" s="161"/>
      <c r="L47" s="161"/>
      <c r="M47" s="161"/>
      <c r="N47" s="161"/>
      <c r="O47" s="161"/>
      <c r="P47" s="161"/>
      <c r="Q47" s="162"/>
      <c r="R47" s="161"/>
      <c r="S47" s="161"/>
      <c r="T47" s="163"/>
      <c r="U47" s="534"/>
      <c r="V47" s="534"/>
      <c r="W47" s="534"/>
      <c r="X47" s="534"/>
    </row>
    <row r="48" spans="1:24">
      <c r="A48" s="82"/>
      <c r="B48" s="146" t="s">
        <v>940</v>
      </c>
      <c r="C48" s="157" t="s">
        <v>910</v>
      </c>
      <c r="D48" s="155" t="s">
        <v>916</v>
      </c>
      <c r="E48" s="155" t="s">
        <v>917</v>
      </c>
      <c r="F48" s="164">
        <f t="shared" ref="F48:Q48" si="32">SUMIF($D$25:$D$46,"FINANCIAMENTO",F$25:F$46)</f>
        <v>7372.7451363288355</v>
      </c>
      <c r="G48" s="164">
        <f t="shared" si="32"/>
        <v>11288.918601862646</v>
      </c>
      <c r="H48" s="164">
        <f t="shared" si="32"/>
        <v>31167.447324568097</v>
      </c>
      <c r="I48" s="164">
        <f t="shared" si="32"/>
        <v>58286.342327653685</v>
      </c>
      <c r="J48" s="164">
        <f t="shared" si="32"/>
        <v>56728.036053484822</v>
      </c>
      <c r="K48" s="164">
        <f t="shared" si="32"/>
        <v>53693.728971185272</v>
      </c>
      <c r="L48" s="164">
        <f t="shared" si="32"/>
        <v>35940.907404523292</v>
      </c>
      <c r="M48" s="164">
        <f t="shared" si="32"/>
        <v>19381.894180393367</v>
      </c>
      <c r="N48" s="164">
        <f t="shared" si="32"/>
        <v>0</v>
      </c>
      <c r="O48" s="164">
        <f t="shared" si="32"/>
        <v>0</v>
      </c>
      <c r="P48" s="164">
        <f t="shared" si="32"/>
        <v>0</v>
      </c>
      <c r="Q48" s="165">
        <f t="shared" si="32"/>
        <v>0</v>
      </c>
      <c r="R48" s="166"/>
      <c r="S48" s="167">
        <f>SUMIF($D$25:$D$46,"FINANCIAMENTO",S$25:S$46)</f>
        <v>273860.02</v>
      </c>
      <c r="T48" s="168">
        <f>SUMIF($D$25:$D$46,"FINANCIAMENTO",T$25:T$46)</f>
        <v>0.59534350802690861</v>
      </c>
      <c r="U48" s="534"/>
      <c r="V48" s="534"/>
      <c r="W48" s="534"/>
      <c r="X48" s="534"/>
    </row>
    <row r="49" spans="1:24">
      <c r="A49" s="82"/>
      <c r="B49" s="146" t="s">
        <v>941</v>
      </c>
      <c r="C49" s="158"/>
      <c r="D49" s="169" t="s">
        <v>919</v>
      </c>
      <c r="E49" s="169" t="s">
        <v>917</v>
      </c>
      <c r="F49" s="164">
        <f t="shared" ref="F49:T49" si="33">SUMIF($D$25:$D$46,"CONTRAPARTIDA",F$25:F$46)</f>
        <v>5011.2735636711632</v>
      </c>
      <c r="G49" s="164">
        <f t="shared" si="33"/>
        <v>7673.1065981373577</v>
      </c>
      <c r="H49" s="164">
        <f t="shared" si="33"/>
        <v>21184.592975431911</v>
      </c>
      <c r="I49" s="164">
        <f t="shared" si="33"/>
        <v>39617.374672346312</v>
      </c>
      <c r="J49" s="164">
        <f t="shared" si="33"/>
        <v>38558.189946515173</v>
      </c>
      <c r="K49" s="164">
        <f t="shared" si="33"/>
        <v>36495.763728814731</v>
      </c>
      <c r="L49" s="164">
        <f t="shared" si="33"/>
        <v>24429.125895476711</v>
      </c>
      <c r="M49" s="164">
        <f t="shared" si="33"/>
        <v>13173.922619606634</v>
      </c>
      <c r="N49" s="164">
        <f t="shared" si="33"/>
        <v>0</v>
      </c>
      <c r="O49" s="164">
        <f t="shared" si="33"/>
        <v>0</v>
      </c>
      <c r="P49" s="164">
        <f t="shared" si="33"/>
        <v>0</v>
      </c>
      <c r="Q49" s="165">
        <f t="shared" si="33"/>
        <v>0</v>
      </c>
      <c r="R49" s="170"/>
      <c r="S49" s="167">
        <f t="shared" si="33"/>
        <v>186143.34999999998</v>
      </c>
      <c r="T49" s="168">
        <f t="shared" si="33"/>
        <v>0.40465649197309139</v>
      </c>
      <c r="U49" s="534"/>
      <c r="V49" s="534"/>
      <c r="W49" s="534"/>
      <c r="X49" s="534"/>
    </row>
    <row r="50" spans="1:24">
      <c r="A50" s="82"/>
      <c r="B50" s="171"/>
      <c r="C50" s="160"/>
      <c r="D50" s="160"/>
      <c r="E50" s="160"/>
      <c r="F50" s="161"/>
      <c r="G50" s="161"/>
      <c r="H50" s="161"/>
      <c r="I50" s="161"/>
      <c r="J50" s="161"/>
      <c r="K50" s="161"/>
      <c r="L50" s="161"/>
      <c r="M50" s="161"/>
      <c r="N50" s="161"/>
      <c r="O50" s="161"/>
      <c r="P50" s="161"/>
      <c r="Q50" s="162"/>
      <c r="R50" s="161"/>
      <c r="S50" s="172"/>
      <c r="T50" s="173"/>
      <c r="U50" s="534"/>
      <c r="V50" s="534"/>
      <c r="W50" s="534"/>
      <c r="X50" s="534"/>
    </row>
    <row r="51" spans="1:24" ht="15" customHeight="1" thickBot="1">
      <c r="A51" s="82"/>
      <c r="B51" s="174" t="s">
        <v>942</v>
      </c>
      <c r="C51" s="579"/>
      <c r="D51" s="579"/>
      <c r="E51" s="580" t="s">
        <v>917</v>
      </c>
      <c r="F51" s="175">
        <f t="shared" ref="F51:Q51" si="34">SUM(F48:F49)</f>
        <v>12384.018699999999</v>
      </c>
      <c r="G51" s="175">
        <f t="shared" si="34"/>
        <v>18962.025200000004</v>
      </c>
      <c r="H51" s="175">
        <f t="shared" si="34"/>
        <v>52352.040300000008</v>
      </c>
      <c r="I51" s="175">
        <f t="shared" si="34"/>
        <v>97903.717000000004</v>
      </c>
      <c r="J51" s="175">
        <f t="shared" si="34"/>
        <v>95286.225999999995</v>
      </c>
      <c r="K51" s="175">
        <f t="shared" si="34"/>
        <v>90189.492700000003</v>
      </c>
      <c r="L51" s="176">
        <f t="shared" si="34"/>
        <v>60370.033300000003</v>
      </c>
      <c r="M51" s="176">
        <f t="shared" si="34"/>
        <v>32555.816800000001</v>
      </c>
      <c r="N51" s="176">
        <f t="shared" si="34"/>
        <v>0</v>
      </c>
      <c r="O51" s="176">
        <f t="shared" si="34"/>
        <v>0</v>
      </c>
      <c r="P51" s="176">
        <f t="shared" si="34"/>
        <v>0</v>
      </c>
      <c r="Q51" s="177">
        <f t="shared" si="34"/>
        <v>0</v>
      </c>
      <c r="R51" s="178"/>
      <c r="S51" s="179">
        <f>SUM(F51:Q51)</f>
        <v>460003.37</v>
      </c>
      <c r="T51" s="180">
        <f>SUM(T48:T49)</f>
        <v>1</v>
      </c>
      <c r="U51" s="534"/>
      <c r="V51" s="534"/>
      <c r="W51" s="534"/>
      <c r="X51" s="534"/>
    </row>
    <row r="52" spans="1:24" ht="15" customHeight="1" thickTop="1" thickBot="1">
      <c r="A52" s="82"/>
      <c r="B52" s="181" t="s">
        <v>943</v>
      </c>
      <c r="C52" s="581"/>
      <c r="D52" s="581"/>
      <c r="E52" s="582" t="s">
        <v>917</v>
      </c>
      <c r="F52" s="182">
        <f t="shared" ref="F52:Q52" si="35">IF($S$51=0,0,F51/$S$51)</f>
        <v>2.6921582552753905E-2</v>
      </c>
      <c r="G52" s="182">
        <f t="shared" si="35"/>
        <v>4.1221491920809199E-2</v>
      </c>
      <c r="H52" s="182">
        <f t="shared" si="35"/>
        <v>0.11380794949393525</v>
      </c>
      <c r="I52" s="182">
        <f t="shared" si="35"/>
        <v>0.2128326081611098</v>
      </c>
      <c r="J52" s="182">
        <f t="shared" si="35"/>
        <v>0.20714245202160148</v>
      </c>
      <c r="K52" s="182">
        <f t="shared" si="35"/>
        <v>0.19606267819298803</v>
      </c>
      <c r="L52" s="182">
        <f t="shared" si="35"/>
        <v>0.13123824136331871</v>
      </c>
      <c r="M52" s="182">
        <f t="shared" si="35"/>
        <v>7.0772996293483673E-2</v>
      </c>
      <c r="N52" s="182">
        <f t="shared" si="35"/>
        <v>0</v>
      </c>
      <c r="O52" s="182">
        <f t="shared" si="35"/>
        <v>0</v>
      </c>
      <c r="P52" s="182">
        <f t="shared" si="35"/>
        <v>0</v>
      </c>
      <c r="Q52" s="183">
        <f t="shared" si="35"/>
        <v>0</v>
      </c>
      <c r="R52" s="184"/>
      <c r="S52" s="179">
        <f>S48+S49</f>
        <v>460003.37</v>
      </c>
      <c r="T52" s="185">
        <f>SUM(F52:Q52)</f>
        <v>1.0000000000000002</v>
      </c>
      <c r="U52" s="534"/>
      <c r="V52" s="534"/>
      <c r="W52" s="534"/>
      <c r="X52" s="534"/>
    </row>
    <row r="53" spans="1:24" ht="15" customHeight="1" thickTop="1" thickBot="1">
      <c r="A53" s="82"/>
      <c r="B53" s="186" t="s">
        <v>944</v>
      </c>
      <c r="C53" s="583"/>
      <c r="D53" s="583"/>
      <c r="E53" s="584" t="s">
        <v>917</v>
      </c>
      <c r="F53" s="187">
        <f>F52</f>
        <v>2.6921582552753905E-2</v>
      </c>
      <c r="G53" s="187">
        <f t="shared" ref="G53:H53" si="36">IF(G51=0,0,F53+G52)</f>
        <v>6.8143074473563103E-2</v>
      </c>
      <c r="H53" s="187">
        <f t="shared" si="36"/>
        <v>0.18195102396749835</v>
      </c>
      <c r="I53" s="187">
        <f>IF(I51=0,0,H53+I52)</f>
        <v>0.39478363212860812</v>
      </c>
      <c r="J53" s="187">
        <f t="shared" ref="J53:Q53" si="37">IF(J51=0,0,I53+J52)</f>
        <v>0.60192608415020965</v>
      </c>
      <c r="K53" s="187">
        <f t="shared" si="37"/>
        <v>0.79798876234319771</v>
      </c>
      <c r="L53" s="187">
        <f t="shared" si="37"/>
        <v>0.92922700370651645</v>
      </c>
      <c r="M53" s="187">
        <f t="shared" si="37"/>
        <v>1.0000000000000002</v>
      </c>
      <c r="N53" s="187">
        <f t="shared" si="37"/>
        <v>0</v>
      </c>
      <c r="O53" s="187">
        <f t="shared" si="37"/>
        <v>0</v>
      </c>
      <c r="P53" s="187">
        <f t="shared" si="37"/>
        <v>0</v>
      </c>
      <c r="Q53" s="188">
        <f t="shared" si="37"/>
        <v>0</v>
      </c>
      <c r="R53" s="189"/>
      <c r="S53" s="190" t="str">
        <f>IF(S51=S52,"OK","CORRIGIR")</f>
        <v>OK</v>
      </c>
      <c r="T53" s="191" t="str">
        <f>IF(T51=T52,"OK","CORRIGIR")</f>
        <v>OK</v>
      </c>
      <c r="U53" s="534"/>
      <c r="V53" s="534"/>
      <c r="W53" s="534"/>
      <c r="X53" s="534"/>
    </row>
    <row r="54" spans="1:24" ht="15" customHeight="1">
      <c r="A54" s="82"/>
      <c r="B54" s="192" t="s">
        <v>945</v>
      </c>
      <c r="C54" s="193"/>
      <c r="D54" s="194"/>
      <c r="E54" s="195"/>
      <c r="F54" s="193" t="s">
        <v>946</v>
      </c>
      <c r="G54" s="196"/>
      <c r="H54" s="196"/>
      <c r="I54" s="197"/>
      <c r="J54" s="198" t="s">
        <v>947</v>
      </c>
      <c r="K54" s="199"/>
      <c r="L54" s="199"/>
      <c r="M54" s="200"/>
      <c r="N54" s="201" t="s">
        <v>946</v>
      </c>
      <c r="O54" s="202"/>
      <c r="P54" s="203"/>
      <c r="Q54" s="193" t="s">
        <v>948</v>
      </c>
      <c r="R54" s="585"/>
      <c r="S54" s="585"/>
      <c r="T54" s="586"/>
      <c r="U54" s="534"/>
      <c r="V54" s="534"/>
      <c r="W54" s="534"/>
      <c r="X54" s="534"/>
    </row>
    <row r="55" spans="1:24" ht="19.5" customHeight="1" thickBot="1">
      <c r="A55" s="82"/>
      <c r="B55" s="587"/>
      <c r="C55" s="588" t="s">
        <v>2105</v>
      </c>
      <c r="D55" s="589"/>
      <c r="E55" s="590"/>
      <c r="F55" s="590"/>
      <c r="G55" s="591" t="s">
        <v>949</v>
      </c>
      <c r="H55" s="590"/>
      <c r="I55" s="592"/>
      <c r="J55" s="593"/>
      <c r="K55" s="793" t="s">
        <v>2106</v>
      </c>
      <c r="L55" s="793"/>
      <c r="M55" s="596"/>
      <c r="N55" s="597"/>
      <c r="O55" s="598" t="s">
        <v>950</v>
      </c>
      <c r="P55" s="599"/>
      <c r="Q55" s="600"/>
      <c r="R55" s="204"/>
      <c r="S55" s="204"/>
      <c r="T55" s="601"/>
      <c r="U55" s="534"/>
      <c r="V55" s="534"/>
      <c r="W55" s="534"/>
      <c r="X55" s="534"/>
    </row>
  </sheetData>
  <pageMargins left="0.7" right="0.7" top="0.75" bottom="0.75" header="0.3" footer="0.3"/>
  <pageSetup paperSize="9" scale="63" fitToWidth="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66"/>
  <sheetViews>
    <sheetView workbookViewId="0">
      <selection activeCell="B13" sqref="B13"/>
    </sheetView>
  </sheetViews>
  <sheetFormatPr defaultColWidth="14.6640625" defaultRowHeight="12.75"/>
  <cols>
    <col min="1" max="1" width="58.5" style="526" customWidth="1"/>
    <col min="2" max="3" width="25.6640625" style="526" customWidth="1"/>
    <col min="4" max="8" width="13.5" style="456" customWidth="1"/>
    <col min="9" max="19" width="13.5" style="450" customWidth="1"/>
    <col min="20" max="257" width="14.6640625" style="450"/>
    <col min="258" max="258" width="47.6640625" style="450" customWidth="1"/>
    <col min="259" max="259" width="43.83203125" style="450" customWidth="1"/>
    <col min="260" max="513" width="14.6640625" style="450"/>
    <col min="514" max="514" width="47.6640625" style="450" customWidth="1"/>
    <col min="515" max="515" width="43.83203125" style="450" customWidth="1"/>
    <col min="516" max="769" width="14.6640625" style="450"/>
    <col min="770" max="770" width="47.6640625" style="450" customWidth="1"/>
    <col min="771" max="771" width="43.83203125" style="450" customWidth="1"/>
    <col min="772" max="1025" width="14.6640625" style="450"/>
    <col min="1026" max="1026" width="47.6640625" style="450" customWidth="1"/>
    <col min="1027" max="1027" width="43.83203125" style="450" customWidth="1"/>
    <col min="1028" max="1281" width="14.6640625" style="450"/>
    <col min="1282" max="1282" width="47.6640625" style="450" customWidth="1"/>
    <col min="1283" max="1283" width="43.83203125" style="450" customWidth="1"/>
    <col min="1284" max="1537" width="14.6640625" style="450"/>
    <col min="1538" max="1538" width="47.6640625" style="450" customWidth="1"/>
    <col min="1539" max="1539" width="43.83203125" style="450" customWidth="1"/>
    <col min="1540" max="1793" width="14.6640625" style="450"/>
    <col min="1794" max="1794" width="47.6640625" style="450" customWidth="1"/>
    <col min="1795" max="1795" width="43.83203125" style="450" customWidth="1"/>
    <col min="1796" max="2049" width="14.6640625" style="450"/>
    <col min="2050" max="2050" width="47.6640625" style="450" customWidth="1"/>
    <col min="2051" max="2051" width="43.83203125" style="450" customWidth="1"/>
    <col min="2052" max="2305" width="14.6640625" style="450"/>
    <col min="2306" max="2306" width="47.6640625" style="450" customWidth="1"/>
    <col min="2307" max="2307" width="43.83203125" style="450" customWidth="1"/>
    <col min="2308" max="2561" width="14.6640625" style="450"/>
    <col min="2562" max="2562" width="47.6640625" style="450" customWidth="1"/>
    <col min="2563" max="2563" width="43.83203125" style="450" customWidth="1"/>
    <col min="2564" max="2817" width="14.6640625" style="450"/>
    <col min="2818" max="2818" width="47.6640625" style="450" customWidth="1"/>
    <col min="2819" max="2819" width="43.83203125" style="450" customWidth="1"/>
    <col min="2820" max="3073" width="14.6640625" style="450"/>
    <col min="3074" max="3074" width="47.6640625" style="450" customWidth="1"/>
    <col min="3075" max="3075" width="43.83203125" style="450" customWidth="1"/>
    <col min="3076" max="3329" width="14.6640625" style="450"/>
    <col min="3330" max="3330" width="47.6640625" style="450" customWidth="1"/>
    <col min="3331" max="3331" width="43.83203125" style="450" customWidth="1"/>
    <col min="3332" max="3585" width="14.6640625" style="450"/>
    <col min="3586" max="3586" width="47.6640625" style="450" customWidth="1"/>
    <col min="3587" max="3587" width="43.83203125" style="450" customWidth="1"/>
    <col min="3588" max="3841" width="14.6640625" style="450"/>
    <col min="3842" max="3842" width="47.6640625" style="450" customWidth="1"/>
    <col min="3843" max="3843" width="43.83203125" style="450" customWidth="1"/>
    <col min="3844" max="4097" width="14.6640625" style="450"/>
    <col min="4098" max="4098" width="47.6640625" style="450" customWidth="1"/>
    <col min="4099" max="4099" width="43.83203125" style="450" customWidth="1"/>
    <col min="4100" max="4353" width="14.6640625" style="450"/>
    <col min="4354" max="4354" width="47.6640625" style="450" customWidth="1"/>
    <col min="4355" max="4355" width="43.83203125" style="450" customWidth="1"/>
    <col min="4356" max="4609" width="14.6640625" style="450"/>
    <col min="4610" max="4610" width="47.6640625" style="450" customWidth="1"/>
    <col min="4611" max="4611" width="43.83203125" style="450" customWidth="1"/>
    <col min="4612" max="4865" width="14.6640625" style="450"/>
    <col min="4866" max="4866" width="47.6640625" style="450" customWidth="1"/>
    <col min="4867" max="4867" width="43.83203125" style="450" customWidth="1"/>
    <col min="4868" max="5121" width="14.6640625" style="450"/>
    <col min="5122" max="5122" width="47.6640625" style="450" customWidth="1"/>
    <col min="5123" max="5123" width="43.83203125" style="450" customWidth="1"/>
    <col min="5124" max="5377" width="14.6640625" style="450"/>
    <col min="5378" max="5378" width="47.6640625" style="450" customWidth="1"/>
    <col min="5379" max="5379" width="43.83203125" style="450" customWidth="1"/>
    <col min="5380" max="5633" width="14.6640625" style="450"/>
    <col min="5634" max="5634" width="47.6640625" style="450" customWidth="1"/>
    <col min="5635" max="5635" width="43.83203125" style="450" customWidth="1"/>
    <col min="5636" max="5889" width="14.6640625" style="450"/>
    <col min="5890" max="5890" width="47.6640625" style="450" customWidth="1"/>
    <col min="5891" max="5891" width="43.83203125" style="450" customWidth="1"/>
    <col min="5892" max="6145" width="14.6640625" style="450"/>
    <col min="6146" max="6146" width="47.6640625" style="450" customWidth="1"/>
    <col min="6147" max="6147" width="43.83203125" style="450" customWidth="1"/>
    <col min="6148" max="6401" width="14.6640625" style="450"/>
    <col min="6402" max="6402" width="47.6640625" style="450" customWidth="1"/>
    <col min="6403" max="6403" width="43.83203125" style="450" customWidth="1"/>
    <col min="6404" max="6657" width="14.6640625" style="450"/>
    <col min="6658" max="6658" width="47.6640625" style="450" customWidth="1"/>
    <col min="6659" max="6659" width="43.83203125" style="450" customWidth="1"/>
    <col min="6660" max="6913" width="14.6640625" style="450"/>
    <col min="6914" max="6914" width="47.6640625" style="450" customWidth="1"/>
    <col min="6915" max="6915" width="43.83203125" style="450" customWidth="1"/>
    <col min="6916" max="7169" width="14.6640625" style="450"/>
    <col min="7170" max="7170" width="47.6640625" style="450" customWidth="1"/>
    <col min="7171" max="7171" width="43.83203125" style="450" customWidth="1"/>
    <col min="7172" max="7425" width="14.6640625" style="450"/>
    <col min="7426" max="7426" width="47.6640625" style="450" customWidth="1"/>
    <col min="7427" max="7427" width="43.83203125" style="450" customWidth="1"/>
    <col min="7428" max="7681" width="14.6640625" style="450"/>
    <col min="7682" max="7682" width="47.6640625" style="450" customWidth="1"/>
    <col min="7683" max="7683" width="43.83203125" style="450" customWidth="1"/>
    <col min="7684" max="7937" width="14.6640625" style="450"/>
    <col min="7938" max="7938" width="47.6640625" style="450" customWidth="1"/>
    <col min="7939" max="7939" width="43.83203125" style="450" customWidth="1"/>
    <col min="7940" max="8193" width="14.6640625" style="450"/>
    <col min="8194" max="8194" width="47.6640625" style="450" customWidth="1"/>
    <col min="8195" max="8195" width="43.83203125" style="450" customWidth="1"/>
    <col min="8196" max="8449" width="14.6640625" style="450"/>
    <col min="8450" max="8450" width="47.6640625" style="450" customWidth="1"/>
    <col min="8451" max="8451" width="43.83203125" style="450" customWidth="1"/>
    <col min="8452" max="8705" width="14.6640625" style="450"/>
    <col min="8706" max="8706" width="47.6640625" style="450" customWidth="1"/>
    <col min="8707" max="8707" width="43.83203125" style="450" customWidth="1"/>
    <col min="8708" max="8961" width="14.6640625" style="450"/>
    <col min="8962" max="8962" width="47.6640625" style="450" customWidth="1"/>
    <col min="8963" max="8963" width="43.83203125" style="450" customWidth="1"/>
    <col min="8964" max="9217" width="14.6640625" style="450"/>
    <col min="9218" max="9218" width="47.6640625" style="450" customWidth="1"/>
    <col min="9219" max="9219" width="43.83203125" style="450" customWidth="1"/>
    <col min="9220" max="9473" width="14.6640625" style="450"/>
    <col min="9474" max="9474" width="47.6640625" style="450" customWidth="1"/>
    <col min="9475" max="9475" width="43.83203125" style="450" customWidth="1"/>
    <col min="9476" max="9729" width="14.6640625" style="450"/>
    <col min="9730" max="9730" width="47.6640625" style="450" customWidth="1"/>
    <col min="9731" max="9731" width="43.83203125" style="450" customWidth="1"/>
    <col min="9732" max="9985" width="14.6640625" style="450"/>
    <col min="9986" max="9986" width="47.6640625" style="450" customWidth="1"/>
    <col min="9987" max="9987" width="43.83203125" style="450" customWidth="1"/>
    <col min="9988" max="10241" width="14.6640625" style="450"/>
    <col min="10242" max="10242" width="47.6640625" style="450" customWidth="1"/>
    <col min="10243" max="10243" width="43.83203125" style="450" customWidth="1"/>
    <col min="10244" max="10497" width="14.6640625" style="450"/>
    <col min="10498" max="10498" width="47.6640625" style="450" customWidth="1"/>
    <col min="10499" max="10499" width="43.83203125" style="450" customWidth="1"/>
    <col min="10500" max="10753" width="14.6640625" style="450"/>
    <col min="10754" max="10754" width="47.6640625" style="450" customWidth="1"/>
    <col min="10755" max="10755" width="43.83203125" style="450" customWidth="1"/>
    <col min="10756" max="11009" width="14.6640625" style="450"/>
    <col min="11010" max="11010" width="47.6640625" style="450" customWidth="1"/>
    <col min="11011" max="11011" width="43.83203125" style="450" customWidth="1"/>
    <col min="11012" max="11265" width="14.6640625" style="450"/>
    <col min="11266" max="11266" width="47.6640625" style="450" customWidth="1"/>
    <col min="11267" max="11267" width="43.83203125" style="450" customWidth="1"/>
    <col min="11268" max="11521" width="14.6640625" style="450"/>
    <col min="11522" max="11522" width="47.6640625" style="450" customWidth="1"/>
    <col min="11523" max="11523" width="43.83203125" style="450" customWidth="1"/>
    <col min="11524" max="11777" width="14.6640625" style="450"/>
    <col min="11778" max="11778" width="47.6640625" style="450" customWidth="1"/>
    <col min="11779" max="11779" width="43.83203125" style="450" customWidth="1"/>
    <col min="11780" max="12033" width="14.6640625" style="450"/>
    <col min="12034" max="12034" width="47.6640625" style="450" customWidth="1"/>
    <col min="12035" max="12035" width="43.83203125" style="450" customWidth="1"/>
    <col min="12036" max="12289" width="14.6640625" style="450"/>
    <col min="12290" max="12290" width="47.6640625" style="450" customWidth="1"/>
    <col min="12291" max="12291" width="43.83203125" style="450" customWidth="1"/>
    <col min="12292" max="12545" width="14.6640625" style="450"/>
    <col min="12546" max="12546" width="47.6640625" style="450" customWidth="1"/>
    <col min="12547" max="12547" width="43.83203125" style="450" customWidth="1"/>
    <col min="12548" max="12801" width="14.6640625" style="450"/>
    <col min="12802" max="12802" width="47.6640625" style="450" customWidth="1"/>
    <col min="12803" max="12803" width="43.83203125" style="450" customWidth="1"/>
    <col min="12804" max="13057" width="14.6640625" style="450"/>
    <col min="13058" max="13058" width="47.6640625" style="450" customWidth="1"/>
    <col min="13059" max="13059" width="43.83203125" style="450" customWidth="1"/>
    <col min="13060" max="13313" width="14.6640625" style="450"/>
    <col min="13314" max="13314" width="47.6640625" style="450" customWidth="1"/>
    <col min="13315" max="13315" width="43.83203125" style="450" customWidth="1"/>
    <col min="13316" max="13569" width="14.6640625" style="450"/>
    <col min="13570" max="13570" width="47.6640625" style="450" customWidth="1"/>
    <col min="13571" max="13571" width="43.83203125" style="450" customWidth="1"/>
    <col min="13572" max="13825" width="14.6640625" style="450"/>
    <col min="13826" max="13826" width="47.6640625" style="450" customWidth="1"/>
    <col min="13827" max="13827" width="43.83203125" style="450" customWidth="1"/>
    <col min="13828" max="14081" width="14.6640625" style="450"/>
    <col min="14082" max="14082" width="47.6640625" style="450" customWidth="1"/>
    <col min="14083" max="14083" width="43.83203125" style="450" customWidth="1"/>
    <col min="14084" max="14337" width="14.6640625" style="450"/>
    <col min="14338" max="14338" width="47.6640625" style="450" customWidth="1"/>
    <col min="14339" max="14339" width="43.83203125" style="450" customWidth="1"/>
    <col min="14340" max="14593" width="14.6640625" style="450"/>
    <col min="14594" max="14594" width="47.6640625" style="450" customWidth="1"/>
    <col min="14595" max="14595" width="43.83203125" style="450" customWidth="1"/>
    <col min="14596" max="14849" width="14.6640625" style="450"/>
    <col min="14850" max="14850" width="47.6640625" style="450" customWidth="1"/>
    <col min="14851" max="14851" width="43.83203125" style="450" customWidth="1"/>
    <col min="14852" max="15105" width="14.6640625" style="450"/>
    <col min="15106" max="15106" width="47.6640625" style="450" customWidth="1"/>
    <col min="15107" max="15107" width="43.83203125" style="450" customWidth="1"/>
    <col min="15108" max="15361" width="14.6640625" style="450"/>
    <col min="15362" max="15362" width="47.6640625" style="450" customWidth="1"/>
    <col min="15363" max="15363" width="43.83203125" style="450" customWidth="1"/>
    <col min="15364" max="15617" width="14.6640625" style="450"/>
    <col min="15618" max="15618" width="47.6640625" style="450" customWidth="1"/>
    <col min="15619" max="15619" width="43.83203125" style="450" customWidth="1"/>
    <col min="15620" max="15873" width="14.6640625" style="450"/>
    <col min="15874" max="15874" width="47.6640625" style="450" customWidth="1"/>
    <col min="15875" max="15875" width="43.83203125" style="450" customWidth="1"/>
    <col min="15876" max="16129" width="14.6640625" style="450"/>
    <col min="16130" max="16130" width="47.6640625" style="450" customWidth="1"/>
    <col min="16131" max="16131" width="43.83203125" style="450" customWidth="1"/>
    <col min="16132" max="16384" width="14.6640625" style="450"/>
  </cols>
  <sheetData>
    <row r="1" spans="1:7" ht="39.6" customHeight="1" thickBot="1">
      <c r="A1" s="796" t="s">
        <v>980</v>
      </c>
      <c r="B1" s="797"/>
      <c r="C1" s="798"/>
      <c r="D1" s="449"/>
      <c r="E1" s="455"/>
    </row>
    <row r="2" spans="1:7" ht="20.100000000000001" customHeight="1">
      <c r="A2" s="799" t="s">
        <v>535</v>
      </c>
      <c r="B2" s="457" t="s">
        <v>981</v>
      </c>
      <c r="C2" s="458">
        <f>IF(B24&gt;3,3,B24)</f>
        <v>0.9</v>
      </c>
      <c r="D2" s="455"/>
      <c r="E2" s="459"/>
    </row>
    <row r="3" spans="1:7" ht="20.100000000000001" customHeight="1">
      <c r="A3" s="800"/>
      <c r="B3" s="457" t="s">
        <v>982</v>
      </c>
      <c r="C3" s="458">
        <v>0.65</v>
      </c>
      <c r="D3" s="455"/>
      <c r="E3" s="455" t="s">
        <v>17</v>
      </c>
    </row>
    <row r="4" spans="1:7" ht="20.100000000000001" customHeight="1">
      <c r="A4" s="800"/>
      <c r="B4" s="457" t="s">
        <v>983</v>
      </c>
      <c r="C4" s="458">
        <v>3</v>
      </c>
      <c r="D4" s="455"/>
      <c r="E4" s="455"/>
    </row>
    <row r="5" spans="1:7" ht="20.100000000000001" customHeight="1" thickBot="1">
      <c r="A5" s="800"/>
      <c r="B5" s="460" t="s">
        <v>984</v>
      </c>
      <c r="C5" s="461">
        <v>0</v>
      </c>
      <c r="D5" s="455"/>
      <c r="E5" s="455" t="s">
        <v>17</v>
      </c>
    </row>
    <row r="6" spans="1:7" ht="20.100000000000001" customHeight="1" thickBot="1">
      <c r="A6" s="801"/>
      <c r="B6" s="462" t="s">
        <v>985</v>
      </c>
      <c r="C6" s="463">
        <f>SUM(C2:C5)</f>
        <v>4.55</v>
      </c>
      <c r="D6" s="455"/>
      <c r="E6" s="455"/>
      <c r="F6" s="464"/>
    </row>
    <row r="7" spans="1:7" ht="20.100000000000001" customHeight="1">
      <c r="A7" s="465" t="s">
        <v>986</v>
      </c>
      <c r="B7" s="466" t="s">
        <v>987</v>
      </c>
      <c r="C7" s="467" t="s">
        <v>988</v>
      </c>
      <c r="D7" s="455"/>
      <c r="E7" s="455"/>
      <c r="G7" s="468"/>
    </row>
    <row r="8" spans="1:7" ht="20.100000000000001" customHeight="1">
      <c r="A8" s="465" t="s">
        <v>973</v>
      </c>
      <c r="B8" s="469">
        <v>4.67</v>
      </c>
      <c r="C8" s="470">
        <v>3.45</v>
      </c>
      <c r="D8" s="455"/>
      <c r="E8" s="471"/>
    </row>
    <row r="9" spans="1:7" ht="20.100000000000001" customHeight="1">
      <c r="A9" s="472" t="s">
        <v>974</v>
      </c>
      <c r="B9" s="473">
        <v>0.97</v>
      </c>
      <c r="C9" s="474">
        <v>0.85</v>
      </c>
      <c r="D9" s="455"/>
      <c r="E9" s="471"/>
    </row>
    <row r="10" spans="1:7" ht="20.100000000000001" customHeight="1">
      <c r="A10" s="472" t="s">
        <v>975</v>
      </c>
      <c r="B10" s="473">
        <v>0.74</v>
      </c>
      <c r="C10" s="474">
        <v>0.48</v>
      </c>
      <c r="D10" s="455"/>
      <c r="E10" s="471"/>
    </row>
    <row r="11" spans="1:7" ht="20.100000000000001" customHeight="1">
      <c r="A11" s="472" t="s">
        <v>976</v>
      </c>
      <c r="B11" s="473">
        <v>1.2</v>
      </c>
      <c r="C11" s="474">
        <v>0.85</v>
      </c>
      <c r="D11" s="455"/>
      <c r="E11" s="471"/>
    </row>
    <row r="12" spans="1:7" ht="20.100000000000001" customHeight="1" thickBot="1">
      <c r="A12" s="475" t="s">
        <v>537</v>
      </c>
      <c r="B12" s="476">
        <v>8.1999999999999993</v>
      </c>
      <c r="C12" s="477">
        <v>5.1100000000000003</v>
      </c>
      <c r="D12" s="455"/>
      <c r="E12" s="471"/>
    </row>
    <row r="13" spans="1:7" ht="20.100000000000001" customHeight="1" thickBot="1">
      <c r="A13" s="478" t="s">
        <v>989</v>
      </c>
      <c r="B13" s="479">
        <f>(((((1+(B8+B9+B10)/100)*(1+B11/100)*(1+B12/100))/(1-C6/100))-1)*100)</f>
        <v>22.037085301204851</v>
      </c>
      <c r="C13" s="463">
        <f>(((((1+(C8+C9+C10)/100)*(1+C11/100)*(1+C12/100))/(1-(C3+C4+C5)/100))-1)*100)</f>
        <v>15.278047942916428</v>
      </c>
      <c r="D13" s="480"/>
      <c r="E13" s="455"/>
    </row>
    <row r="14" spans="1:7" ht="20.100000000000001" customHeight="1" thickBot="1">
      <c r="A14" s="802" t="s">
        <v>990</v>
      </c>
      <c r="B14" s="803"/>
      <c r="C14" s="804"/>
      <c r="D14" s="480"/>
      <c r="E14" s="455"/>
    </row>
    <row r="15" spans="1:7" ht="20.100000000000001" customHeight="1" thickBot="1">
      <c r="A15" s="481" t="s">
        <v>991</v>
      </c>
      <c r="B15" s="482">
        <f>IF(D15="X",0,ROUND(B13,2)/100)</f>
        <v>0.22039999999999998</v>
      </c>
      <c r="C15" s="483"/>
      <c r="D15" s="484"/>
      <c r="E15" s="485"/>
      <c r="F15" s="456" t="s">
        <v>804</v>
      </c>
    </row>
    <row r="16" spans="1:7" ht="9.9499999999999993" customHeight="1" thickBot="1">
      <c r="A16" s="486"/>
      <c r="B16" s="486"/>
      <c r="C16" s="486"/>
      <c r="D16" s="480"/>
      <c r="E16" s="455"/>
    </row>
    <row r="17" spans="1:13" ht="18.75" thickBot="1">
      <c r="A17" s="481" t="s">
        <v>992</v>
      </c>
      <c r="B17" s="482">
        <f>IF(D15="X",0,ROUND(C13,2)/100)</f>
        <v>0.15279999999999999</v>
      </c>
      <c r="C17" s="483"/>
      <c r="D17" s="455"/>
      <c r="E17" s="485"/>
      <c r="F17" s="487"/>
      <c r="G17" s="487"/>
      <c r="H17" s="487"/>
      <c r="I17" s="488"/>
      <c r="J17" s="488"/>
      <c r="K17" s="488"/>
      <c r="L17" s="488"/>
      <c r="M17" s="488"/>
    </row>
    <row r="18" spans="1:13" ht="6.6" customHeight="1">
      <c r="A18" s="489"/>
      <c r="B18" s="489"/>
      <c r="C18" s="489"/>
      <c r="D18" s="455"/>
      <c r="E18" s="455"/>
    </row>
    <row r="19" spans="1:13">
      <c r="A19" s="490"/>
      <c r="B19" s="490"/>
      <c r="C19" s="490"/>
      <c r="D19" s="455"/>
      <c r="E19" s="455"/>
    </row>
    <row r="20" spans="1:13" ht="16.5" thickBot="1">
      <c r="A20" s="491"/>
      <c r="B20" s="492" t="s">
        <v>977</v>
      </c>
      <c r="C20" s="490"/>
      <c r="D20" s="455"/>
      <c r="E20" s="455"/>
    </row>
    <row r="21" spans="1:13" ht="18.75" thickBot="1">
      <c r="A21" s="493" t="s">
        <v>785</v>
      </c>
      <c r="B21" s="494">
        <v>3</v>
      </c>
      <c r="C21" s="495" t="s">
        <v>778</v>
      </c>
      <c r="D21" s="455"/>
      <c r="E21" s="459"/>
    </row>
    <row r="22" spans="1:13" ht="18.75" thickBot="1">
      <c r="A22" s="493" t="s">
        <v>786</v>
      </c>
      <c r="B22" s="494">
        <v>30</v>
      </c>
      <c r="C22" s="495" t="s">
        <v>778</v>
      </c>
      <c r="D22" s="455"/>
      <c r="E22" s="459"/>
    </row>
    <row r="23" spans="1:13" ht="18">
      <c r="A23" s="493" t="s">
        <v>978</v>
      </c>
      <c r="B23" s="528" t="s">
        <v>798</v>
      </c>
      <c r="C23" s="495" t="s">
        <v>778</v>
      </c>
      <c r="D23" s="455"/>
      <c r="E23" s="455"/>
    </row>
    <row r="24" spans="1:13" ht="18">
      <c r="A24" s="493" t="s">
        <v>1012</v>
      </c>
      <c r="B24" s="496">
        <f>IF(ROUND(B21*B22/100,4)&gt;3,3,ROUND(B21*B22/100,4))</f>
        <v>0.9</v>
      </c>
      <c r="C24" s="495" t="s">
        <v>778</v>
      </c>
      <c r="D24" s="455"/>
      <c r="E24" s="455"/>
    </row>
    <row r="25" spans="1:13" ht="13.5" thickBot="1">
      <c r="A25" s="497"/>
      <c r="B25" s="498"/>
      <c r="C25" s="498"/>
      <c r="D25" s="455"/>
      <c r="E25" s="455"/>
    </row>
    <row r="26" spans="1:13" ht="13.5" thickBot="1">
      <c r="A26" s="805" t="s">
        <v>993</v>
      </c>
      <c r="B26" s="806"/>
      <c r="C26" s="806"/>
      <c r="D26" s="807"/>
      <c r="E26" s="455"/>
    </row>
    <row r="27" spans="1:13" ht="13.5" thickBot="1">
      <c r="A27" s="499" t="s">
        <v>994</v>
      </c>
      <c r="B27" s="500" t="s">
        <v>995</v>
      </c>
      <c r="C27" s="501" t="s">
        <v>996</v>
      </c>
      <c r="D27" s="502" t="s">
        <v>997</v>
      </c>
      <c r="E27" s="455"/>
    </row>
    <row r="28" spans="1:13">
      <c r="A28" s="503" t="s">
        <v>998</v>
      </c>
      <c r="B28" s="504">
        <v>0.2034</v>
      </c>
      <c r="C28" s="505">
        <v>0.22120000000000001</v>
      </c>
      <c r="D28" s="506">
        <v>0.25</v>
      </c>
      <c r="E28" s="455"/>
    </row>
    <row r="29" spans="1:13">
      <c r="A29" s="507" t="s">
        <v>999</v>
      </c>
      <c r="B29" s="508">
        <v>0.19600000000000001</v>
      </c>
      <c r="C29" s="509">
        <v>0.20949999999999999</v>
      </c>
      <c r="D29" s="510">
        <v>0.24229999999999999</v>
      </c>
      <c r="E29" s="455"/>
    </row>
    <row r="30" spans="1:13" ht="38.25">
      <c r="A30" s="507" t="s">
        <v>1000</v>
      </c>
      <c r="B30" s="508">
        <v>0.20760000000000001</v>
      </c>
      <c r="C30" s="509">
        <v>0.24179999999999999</v>
      </c>
      <c r="D30" s="510">
        <v>0.26440000000000002</v>
      </c>
      <c r="E30" s="455"/>
    </row>
    <row r="31" spans="1:13" ht="25.5">
      <c r="A31" s="507" t="s">
        <v>1001</v>
      </c>
      <c r="B31" s="508">
        <v>0.24</v>
      </c>
      <c r="C31" s="509">
        <v>0.25840000000000002</v>
      </c>
      <c r="D31" s="510">
        <v>0.27860000000000001</v>
      </c>
      <c r="E31" s="455"/>
    </row>
    <row r="32" spans="1:13" ht="13.5" thickBot="1">
      <c r="A32" s="511" t="s">
        <v>1002</v>
      </c>
      <c r="B32" s="512">
        <v>0.22800000000000001</v>
      </c>
      <c r="C32" s="513">
        <v>0.27479999999999999</v>
      </c>
      <c r="D32" s="514">
        <v>0.3095</v>
      </c>
      <c r="E32" s="455"/>
    </row>
    <row r="33" spans="1:17">
      <c r="A33" s="515"/>
      <c r="B33" s="498"/>
      <c r="C33" s="498"/>
      <c r="D33" s="455"/>
      <c r="E33" s="455"/>
    </row>
    <row r="34" spans="1:17" ht="13.5" thickBot="1">
      <c r="A34" s="515"/>
      <c r="B34" s="498"/>
      <c r="C34" s="498"/>
      <c r="D34" s="455"/>
      <c r="E34" s="455"/>
    </row>
    <row r="35" spans="1:17" ht="13.5" thickBot="1">
      <c r="A35" s="808" t="s">
        <v>1003</v>
      </c>
      <c r="B35" s="500" t="s">
        <v>995</v>
      </c>
      <c r="C35" s="501" t="s">
        <v>996</v>
      </c>
      <c r="D35" s="502" t="s">
        <v>997</v>
      </c>
      <c r="E35" s="455"/>
    </row>
    <row r="36" spans="1:17" ht="13.5" thickBot="1">
      <c r="A36" s="809"/>
      <c r="B36" s="516">
        <v>0.111</v>
      </c>
      <c r="C36" s="517">
        <v>0.14019999999999999</v>
      </c>
      <c r="D36" s="518">
        <v>0.16800000000000001</v>
      </c>
      <c r="E36" s="455"/>
    </row>
    <row r="37" spans="1:17">
      <c r="A37" s="515"/>
      <c r="B37" s="498"/>
      <c r="C37" s="498"/>
      <c r="D37" s="455"/>
      <c r="E37" s="455"/>
    </row>
    <row r="38" spans="1:17" ht="13.5" thickBot="1">
      <c r="A38" s="515"/>
      <c r="B38" s="498"/>
      <c r="C38" s="498"/>
      <c r="D38" s="455"/>
      <c r="E38" s="455"/>
      <c r="F38" s="455"/>
      <c r="G38" s="455"/>
      <c r="H38" s="455"/>
      <c r="I38" s="29"/>
      <c r="J38" s="29"/>
      <c r="K38" s="29"/>
      <c r="L38" s="29"/>
      <c r="M38" s="29"/>
      <c r="N38" s="29"/>
      <c r="O38" s="29"/>
      <c r="P38" s="29"/>
      <c r="Q38" s="29"/>
    </row>
    <row r="39" spans="1:17" ht="13.5" customHeight="1" thickBot="1">
      <c r="A39" s="818" t="s">
        <v>994</v>
      </c>
      <c r="B39" s="813" t="s">
        <v>973</v>
      </c>
      <c r="C39" s="814"/>
      <c r="D39" s="815"/>
      <c r="E39" s="813" t="s">
        <v>1004</v>
      </c>
      <c r="F39" s="814"/>
      <c r="G39" s="815"/>
      <c r="H39" s="813" t="s">
        <v>1005</v>
      </c>
      <c r="I39" s="814"/>
      <c r="J39" s="815"/>
      <c r="K39" s="813" t="s">
        <v>1006</v>
      </c>
      <c r="L39" s="816"/>
      <c r="M39" s="817"/>
      <c r="N39" s="813" t="s">
        <v>537</v>
      </c>
      <c r="O39" s="816"/>
      <c r="P39" s="817"/>
      <c r="Q39" s="29"/>
    </row>
    <row r="40" spans="1:17" ht="13.5" thickBot="1">
      <c r="A40" s="819"/>
      <c r="B40" s="500" t="s">
        <v>995</v>
      </c>
      <c r="C40" s="501" t="s">
        <v>996</v>
      </c>
      <c r="D40" s="502" t="s">
        <v>997</v>
      </c>
      <c r="E40" s="500" t="s">
        <v>995</v>
      </c>
      <c r="F40" s="501" t="s">
        <v>996</v>
      </c>
      <c r="G40" s="502" t="s">
        <v>997</v>
      </c>
      <c r="H40" s="500" t="s">
        <v>995</v>
      </c>
      <c r="I40" s="501" t="s">
        <v>996</v>
      </c>
      <c r="J40" s="502" t="s">
        <v>997</v>
      </c>
      <c r="K40" s="500" t="s">
        <v>995</v>
      </c>
      <c r="L40" s="501" t="s">
        <v>996</v>
      </c>
      <c r="M40" s="502" t="s">
        <v>997</v>
      </c>
      <c r="N40" s="500" t="s">
        <v>995</v>
      </c>
      <c r="O40" s="501" t="s">
        <v>996</v>
      </c>
      <c r="P40" s="502" t="s">
        <v>997</v>
      </c>
      <c r="Q40" s="29"/>
    </row>
    <row r="41" spans="1:17">
      <c r="A41" s="503" t="s">
        <v>998</v>
      </c>
      <c r="B41" s="504">
        <v>0.03</v>
      </c>
      <c r="C41" s="505">
        <v>0.04</v>
      </c>
      <c r="D41" s="506">
        <v>5.5E-2</v>
      </c>
      <c r="E41" s="504">
        <v>9.7000000000000003E-3</v>
      </c>
      <c r="F41" s="505">
        <v>1.2699999999999999E-2</v>
      </c>
      <c r="G41" s="506">
        <v>1.2699999999999999E-2</v>
      </c>
      <c r="H41" s="504">
        <v>8.0000000000000002E-3</v>
      </c>
      <c r="I41" s="505">
        <v>8.0000000000000002E-3</v>
      </c>
      <c r="J41" s="506">
        <v>0.01</v>
      </c>
      <c r="K41" s="504">
        <v>5.8999999999999999E-3</v>
      </c>
      <c r="L41" s="505">
        <v>1.23E-2</v>
      </c>
      <c r="M41" s="506">
        <v>1.3899999999999999E-2</v>
      </c>
      <c r="N41" s="504">
        <v>6.1600000000000002E-2</v>
      </c>
      <c r="O41" s="505">
        <v>7.3999999999999996E-2</v>
      </c>
      <c r="P41" s="506">
        <v>8.9599999999999999E-2</v>
      </c>
      <c r="Q41" s="29"/>
    </row>
    <row r="42" spans="1:17">
      <c r="A42" s="507" t="s">
        <v>999</v>
      </c>
      <c r="B42" s="508">
        <v>3.7999999999999999E-2</v>
      </c>
      <c r="C42" s="509">
        <v>4.0099999999999997E-2</v>
      </c>
      <c r="D42" s="510">
        <v>4.6699999999999998E-2</v>
      </c>
      <c r="E42" s="508">
        <v>5.0000000000000001E-3</v>
      </c>
      <c r="F42" s="509">
        <v>5.5999999999999999E-3</v>
      </c>
      <c r="G42" s="510">
        <v>9.7000000000000003E-3</v>
      </c>
      <c r="H42" s="508">
        <v>3.2000000000000002E-3</v>
      </c>
      <c r="I42" s="509">
        <v>4.0000000000000001E-3</v>
      </c>
      <c r="J42" s="510">
        <v>7.4000000000000003E-3</v>
      </c>
      <c r="K42" s="508">
        <v>1.0200000000000001E-2</v>
      </c>
      <c r="L42" s="509">
        <v>1.11E-2</v>
      </c>
      <c r="M42" s="510">
        <v>1.21E-2</v>
      </c>
      <c r="N42" s="508">
        <v>6.6400000000000001E-2</v>
      </c>
      <c r="O42" s="509">
        <v>7.2999999999999995E-2</v>
      </c>
      <c r="P42" s="510">
        <v>8.6900000000000005E-2</v>
      </c>
      <c r="Q42" s="29"/>
    </row>
    <row r="43" spans="1:17" ht="38.25">
      <c r="A43" s="507" t="s">
        <v>1000</v>
      </c>
      <c r="B43" s="508">
        <v>3.4299999999999997E-2</v>
      </c>
      <c r="C43" s="509">
        <v>4.9299999999999997E-2</v>
      </c>
      <c r="D43" s="510">
        <v>6.7100000000000007E-2</v>
      </c>
      <c r="E43" s="508">
        <v>0.01</v>
      </c>
      <c r="F43" s="509">
        <v>1.3899999999999999E-2</v>
      </c>
      <c r="G43" s="510">
        <v>1.7399999999999999E-2</v>
      </c>
      <c r="H43" s="508">
        <v>2.8E-3</v>
      </c>
      <c r="I43" s="509">
        <v>4.8999999999999998E-3</v>
      </c>
      <c r="J43" s="510">
        <v>7.4999999999999997E-3</v>
      </c>
      <c r="K43" s="508">
        <v>9.4000000000000004E-3</v>
      </c>
      <c r="L43" s="509">
        <v>9.9000000000000008E-3</v>
      </c>
      <c r="M43" s="510">
        <v>1.17E-2</v>
      </c>
      <c r="N43" s="508">
        <v>6.7400000000000002E-2</v>
      </c>
      <c r="O43" s="509">
        <v>8.0399999999999999E-2</v>
      </c>
      <c r="P43" s="510">
        <v>9.4E-2</v>
      </c>
      <c r="Q43" s="29"/>
    </row>
    <row r="44" spans="1:17" ht="25.5">
      <c r="A44" s="507" t="s">
        <v>1001</v>
      </c>
      <c r="B44" s="508">
        <v>5.2900000000000003E-2</v>
      </c>
      <c r="C44" s="509">
        <v>5.9200000000000003E-2</v>
      </c>
      <c r="D44" s="510">
        <v>7.9299999999999995E-2</v>
      </c>
      <c r="E44" s="508">
        <v>0.01</v>
      </c>
      <c r="F44" s="509">
        <v>1.4800000000000001E-2</v>
      </c>
      <c r="G44" s="510">
        <v>1.9699999999999999E-2</v>
      </c>
      <c r="H44" s="508">
        <v>2.5000000000000001E-3</v>
      </c>
      <c r="I44" s="509">
        <v>5.1000000000000004E-3</v>
      </c>
      <c r="J44" s="510">
        <v>5.5999999999999999E-3</v>
      </c>
      <c r="K44" s="508">
        <v>1.01E-2</v>
      </c>
      <c r="L44" s="509">
        <v>1.0699999999999999E-2</v>
      </c>
      <c r="M44" s="510">
        <v>1.11E-2</v>
      </c>
      <c r="N44" s="508">
        <v>0.08</v>
      </c>
      <c r="O44" s="509">
        <v>8.3099999999999993E-2</v>
      </c>
      <c r="P44" s="510">
        <v>9.5100000000000004E-2</v>
      </c>
      <c r="Q44" s="29"/>
    </row>
    <row r="45" spans="1:17" ht="13.5" thickBot="1">
      <c r="A45" s="511" t="s">
        <v>1002</v>
      </c>
      <c r="B45" s="512">
        <v>0.04</v>
      </c>
      <c r="C45" s="513">
        <v>5.5199999999999999E-2</v>
      </c>
      <c r="D45" s="514">
        <v>7.85E-2</v>
      </c>
      <c r="E45" s="512">
        <v>1.46E-2</v>
      </c>
      <c r="F45" s="513">
        <v>2.3199999999999998E-2</v>
      </c>
      <c r="G45" s="514">
        <v>3.1600000000000003E-2</v>
      </c>
      <c r="H45" s="512">
        <v>8.0999999999999996E-3</v>
      </c>
      <c r="I45" s="513">
        <v>1.2200000000000001E-2</v>
      </c>
      <c r="J45" s="514">
        <v>1.9900000000000001E-2</v>
      </c>
      <c r="K45" s="512">
        <v>9.4000000000000004E-3</v>
      </c>
      <c r="L45" s="513">
        <v>1.0200000000000001E-2</v>
      </c>
      <c r="M45" s="514">
        <v>1.3299999999999999E-2</v>
      </c>
      <c r="N45" s="512">
        <v>7.1400000000000005E-2</v>
      </c>
      <c r="O45" s="513">
        <v>8.4000000000000005E-2</v>
      </c>
      <c r="P45" s="514">
        <v>0.1043</v>
      </c>
      <c r="Q45" s="29"/>
    </row>
    <row r="46" spans="1:17">
      <c r="A46" s="498"/>
      <c r="B46" s="498"/>
      <c r="C46" s="498"/>
      <c r="D46" s="455"/>
      <c r="E46" s="455"/>
    </row>
    <row r="47" spans="1:17" ht="13.5" thickBot="1">
      <c r="A47" s="498"/>
      <c r="B47" s="498"/>
      <c r="C47" s="498"/>
      <c r="D47" s="455"/>
      <c r="E47" s="455"/>
    </row>
    <row r="48" spans="1:17" ht="13.5" thickBot="1">
      <c r="A48" s="813" t="s">
        <v>1007</v>
      </c>
      <c r="B48" s="797"/>
      <c r="C48" s="797"/>
      <c r="D48" s="798"/>
      <c r="E48" s="455"/>
      <c r="H48" s="450"/>
    </row>
    <row r="49" spans="1:16" ht="13.5" thickBot="1">
      <c r="A49" s="519" t="s">
        <v>1008</v>
      </c>
      <c r="B49" s="520" t="s">
        <v>995</v>
      </c>
      <c r="C49" s="521" t="s">
        <v>996</v>
      </c>
      <c r="D49" s="522" t="s">
        <v>997</v>
      </c>
      <c r="E49" s="455"/>
      <c r="H49" s="450"/>
    </row>
    <row r="50" spans="1:16">
      <c r="A50" s="503" t="s">
        <v>973</v>
      </c>
      <c r="B50" s="504">
        <v>1.4999999999999999E-2</v>
      </c>
      <c r="C50" s="505">
        <v>3.4500000000000003E-2</v>
      </c>
      <c r="D50" s="506">
        <v>4.4900000000000002E-2</v>
      </c>
      <c r="E50" s="455"/>
      <c r="H50" s="450"/>
    </row>
    <row r="51" spans="1:16">
      <c r="A51" s="507" t="s">
        <v>1005</v>
      </c>
      <c r="B51" s="508">
        <v>3.0000000000000001E-3</v>
      </c>
      <c r="C51" s="509">
        <v>4.7999999999999996E-3</v>
      </c>
      <c r="D51" s="510">
        <v>8.2000000000000007E-3</v>
      </c>
      <c r="E51" s="455"/>
      <c r="H51" s="450"/>
    </row>
    <row r="52" spans="1:16">
      <c r="A52" s="507" t="s">
        <v>1004</v>
      </c>
      <c r="B52" s="508">
        <v>5.5999999999999999E-3</v>
      </c>
      <c r="C52" s="509">
        <v>8.5000000000000006E-3</v>
      </c>
      <c r="D52" s="510">
        <v>8.8999999999999999E-3</v>
      </c>
      <c r="E52" s="455"/>
      <c r="H52" s="450"/>
    </row>
    <row r="53" spans="1:16">
      <c r="A53" s="507" t="s">
        <v>1006</v>
      </c>
      <c r="B53" s="508">
        <v>8.5000000000000006E-3</v>
      </c>
      <c r="C53" s="509">
        <v>8.5000000000000006E-3</v>
      </c>
      <c r="D53" s="510">
        <v>1.11E-2</v>
      </c>
      <c r="E53" s="455"/>
      <c r="H53" s="450"/>
    </row>
    <row r="54" spans="1:16" ht="13.5" thickBot="1">
      <c r="A54" s="511" t="s">
        <v>537</v>
      </c>
      <c r="B54" s="512">
        <v>3.5000000000000003E-2</v>
      </c>
      <c r="C54" s="513">
        <v>5.11E-2</v>
      </c>
      <c r="D54" s="514">
        <v>6.2199999999999998E-2</v>
      </c>
      <c r="E54" s="455"/>
      <c r="H54" s="450"/>
    </row>
    <row r="55" spans="1:16">
      <c r="A55" s="498"/>
      <c r="B55" s="498"/>
      <c r="C55" s="523"/>
      <c r="D55" s="455"/>
      <c r="E55" s="524"/>
    </row>
    <row r="56" spans="1:16" ht="13.5" thickBot="1">
      <c r="A56" s="498"/>
      <c r="B56" s="498"/>
      <c r="C56" s="498"/>
      <c r="D56" s="455"/>
      <c r="E56" s="455"/>
    </row>
    <row r="57" spans="1:16" ht="13.5" thickBot="1">
      <c r="A57" s="813" t="s">
        <v>1009</v>
      </c>
      <c r="B57" s="797"/>
      <c r="C57" s="797"/>
      <c r="D57" s="798"/>
      <c r="E57" s="455"/>
    </row>
    <row r="58" spans="1:16" ht="13.5" thickBot="1">
      <c r="A58" s="525" t="s">
        <v>994</v>
      </c>
      <c r="B58" s="500" t="s">
        <v>995</v>
      </c>
      <c r="C58" s="501" t="s">
        <v>996</v>
      </c>
      <c r="D58" s="502" t="s">
        <v>997</v>
      </c>
      <c r="E58" s="455"/>
    </row>
    <row r="59" spans="1:16">
      <c r="A59" s="503" t="s">
        <v>998</v>
      </c>
      <c r="B59" s="504">
        <v>3.49E-2</v>
      </c>
      <c r="C59" s="505">
        <v>6.2300000000000001E-2</v>
      </c>
      <c r="D59" s="506">
        <v>8.8700000000000001E-2</v>
      </c>
      <c r="E59" s="455"/>
    </row>
    <row r="60" spans="1:16">
      <c r="A60" s="507" t="s">
        <v>999</v>
      </c>
      <c r="B60" s="508">
        <v>1.9800000000000002E-2</v>
      </c>
      <c r="C60" s="509">
        <v>6.9900000000000004E-2</v>
      </c>
      <c r="D60" s="510">
        <v>0.10680000000000001</v>
      </c>
      <c r="E60" s="455"/>
    </row>
    <row r="61" spans="1:16" ht="38.25">
      <c r="A61" s="507" t="s">
        <v>1000</v>
      </c>
      <c r="B61" s="508">
        <v>4.1300000000000003E-2</v>
      </c>
      <c r="C61" s="509">
        <v>7.6399999999999996E-2</v>
      </c>
      <c r="D61" s="510">
        <v>0.1089</v>
      </c>
      <c r="E61" s="455"/>
    </row>
    <row r="62" spans="1:16" s="456" customFormat="1" ht="25.5">
      <c r="A62" s="507" t="s">
        <v>1001</v>
      </c>
      <c r="B62" s="508">
        <v>1.8499999999999999E-2</v>
      </c>
      <c r="C62" s="509">
        <v>5.0500000000000003E-2</v>
      </c>
      <c r="D62" s="510">
        <v>7.4499999999999997E-2</v>
      </c>
      <c r="E62" s="455"/>
      <c r="I62" s="450"/>
      <c r="J62" s="450"/>
      <c r="K62" s="450"/>
      <c r="L62" s="450"/>
      <c r="M62" s="450"/>
      <c r="N62" s="450"/>
      <c r="O62" s="450"/>
      <c r="P62" s="450"/>
    </row>
    <row r="63" spans="1:16" s="456" customFormat="1" ht="13.5" thickBot="1">
      <c r="A63" s="511" t="s">
        <v>1002</v>
      </c>
      <c r="B63" s="512">
        <v>6.2300000000000001E-2</v>
      </c>
      <c r="C63" s="513">
        <v>7.4800000000000005E-2</v>
      </c>
      <c r="D63" s="514">
        <v>9.0899999999999995E-2</v>
      </c>
      <c r="E63" s="455"/>
      <c r="I63" s="450"/>
      <c r="J63" s="450"/>
      <c r="K63" s="450"/>
      <c r="L63" s="450"/>
      <c r="M63" s="450"/>
      <c r="N63" s="450"/>
      <c r="O63" s="450"/>
      <c r="P63" s="450"/>
    </row>
    <row r="64" spans="1:16">
      <c r="A64" s="498"/>
      <c r="B64" s="498"/>
      <c r="C64" s="498"/>
      <c r="D64" s="455"/>
      <c r="E64" s="455"/>
    </row>
    <row r="65" spans="1:16" s="456" customFormat="1" ht="40.5" customHeight="1">
      <c r="A65" s="810" t="s">
        <v>1010</v>
      </c>
      <c r="B65" s="811"/>
      <c r="C65" s="811"/>
      <c r="D65" s="812"/>
      <c r="E65" s="455"/>
      <c r="I65" s="450"/>
      <c r="J65" s="450"/>
      <c r="K65" s="450"/>
      <c r="L65" s="450"/>
      <c r="M65" s="450"/>
      <c r="N65" s="450"/>
      <c r="O65" s="450"/>
      <c r="P65" s="450"/>
    </row>
    <row r="66" spans="1:16">
      <c r="A66" s="498"/>
      <c r="B66" s="498"/>
      <c r="C66" s="498"/>
      <c r="D66" s="455"/>
      <c r="E66" s="455"/>
    </row>
  </sheetData>
  <mergeCells count="14">
    <mergeCell ref="A65:D65"/>
    <mergeCell ref="E39:G39"/>
    <mergeCell ref="H39:J39"/>
    <mergeCell ref="K39:M39"/>
    <mergeCell ref="N39:P39"/>
    <mergeCell ref="A48:D48"/>
    <mergeCell ref="A57:D57"/>
    <mergeCell ref="A39:A40"/>
    <mergeCell ref="B39:D39"/>
    <mergeCell ref="A1:C1"/>
    <mergeCell ref="A2:A6"/>
    <mergeCell ref="A14:C14"/>
    <mergeCell ref="A26:D26"/>
    <mergeCell ref="A35:A36"/>
  </mergeCells>
  <pageMargins left="1.1811023622047245" right="0.78740157480314965" top="1.1811023622047245" bottom="1.1811023622047245" header="0.51181102362204722" footer="0.51181102362204722"/>
  <pageSetup paperSize="9" scale="92" fitToHeight="0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0"/>
  <sheetViews>
    <sheetView showGridLines="0" showZeros="0" zoomScaleSheetLayoutView="100" workbookViewId="0">
      <selection activeCell="D28" sqref="D28"/>
    </sheetView>
  </sheetViews>
  <sheetFormatPr defaultColWidth="12" defaultRowHeight="12.75"/>
  <cols>
    <col min="1" max="1" width="18.6640625" style="242" customWidth="1"/>
    <col min="2" max="2" width="58.5" style="242" customWidth="1"/>
    <col min="3" max="3" width="18.1640625" style="238" customWidth="1"/>
    <col min="4" max="4" width="15.6640625" style="238" customWidth="1"/>
    <col min="5" max="6" width="24.83203125" style="238" bestFit="1" customWidth="1"/>
    <col min="7" max="7" width="14.5" style="238" customWidth="1"/>
    <col min="8" max="16384" width="12" style="12"/>
  </cols>
  <sheetData>
    <row r="1" spans="1:7" s="10" customFormat="1" ht="25.15" customHeight="1" thickBot="1">
      <c r="A1" s="36" t="s">
        <v>1011</v>
      </c>
      <c r="B1" s="7"/>
      <c r="C1" s="8"/>
      <c r="D1" s="8"/>
      <c r="E1" s="8"/>
      <c r="F1" s="9"/>
      <c r="G1" s="206"/>
    </row>
    <row r="2" spans="1:7" s="10" customFormat="1" ht="13.9" customHeight="1">
      <c r="A2" s="207" t="s">
        <v>183</v>
      </c>
      <c r="B2" s="208"/>
      <c r="C2" s="209"/>
      <c r="D2" s="210"/>
      <c r="E2" s="211" t="s">
        <v>184</v>
      </c>
      <c r="F2" s="212"/>
      <c r="G2" s="206"/>
    </row>
    <row r="3" spans="1:7" s="10" customFormat="1" ht="13.9" customHeight="1" thickBot="1">
      <c r="A3" s="213" t="s">
        <v>854</v>
      </c>
      <c r="B3" s="214"/>
      <c r="C3" s="215"/>
      <c r="D3" s="215"/>
      <c r="E3" s="216" t="s">
        <v>185</v>
      </c>
      <c r="F3" s="217"/>
      <c r="G3" s="206"/>
    </row>
    <row r="4" spans="1:7" ht="26.25" thickBot="1">
      <c r="A4" s="218"/>
      <c r="B4" s="219"/>
      <c r="C4" s="220"/>
      <c r="D4" s="220"/>
      <c r="E4" s="11"/>
      <c r="F4" s="4" t="s">
        <v>182</v>
      </c>
      <c r="G4" s="221" t="s">
        <v>956</v>
      </c>
    </row>
    <row r="5" spans="1:7" ht="13.5" thickBot="1">
      <c r="A5" s="222">
        <v>1</v>
      </c>
      <c r="B5" s="223" t="s">
        <v>494</v>
      </c>
      <c r="C5" s="224"/>
      <c r="D5" s="224"/>
      <c r="E5" s="225"/>
      <c r="F5" s="226"/>
      <c r="G5" s="227">
        <f t="shared" ref="G5:G15" si="0">IF(F5=0,0,ROUND(F5/$F$17,4))</f>
        <v>0</v>
      </c>
    </row>
    <row r="6" spans="1:7" ht="13.5" thickBot="1">
      <c r="A6" s="228" t="s">
        <v>189</v>
      </c>
      <c r="B6" s="229" t="s">
        <v>490</v>
      </c>
      <c r="C6" s="230"/>
      <c r="D6" s="230"/>
      <c r="E6" s="231"/>
      <c r="F6" s="226"/>
      <c r="G6" s="227">
        <f t="shared" si="0"/>
        <v>0</v>
      </c>
    </row>
    <row r="7" spans="1:7" ht="13.5" thickBot="1">
      <c r="A7" s="228" t="s">
        <v>213</v>
      </c>
      <c r="B7" s="229" t="s">
        <v>496</v>
      </c>
      <c r="C7" s="230"/>
      <c r="D7" s="230"/>
      <c r="E7" s="231"/>
      <c r="F7" s="226"/>
      <c r="G7" s="227">
        <f t="shared" si="0"/>
        <v>0</v>
      </c>
    </row>
    <row r="8" spans="1:7" ht="13.5" thickBot="1">
      <c r="A8" s="228" t="s">
        <v>231</v>
      </c>
      <c r="B8" s="232" t="s">
        <v>491</v>
      </c>
      <c r="C8" s="233"/>
      <c r="D8" s="233"/>
      <c r="E8" s="231"/>
      <c r="F8" s="226"/>
      <c r="G8" s="227">
        <f t="shared" si="0"/>
        <v>0</v>
      </c>
    </row>
    <row r="9" spans="1:7" ht="13.5" thickBot="1">
      <c r="A9" s="228" t="s">
        <v>188</v>
      </c>
      <c r="B9" s="229" t="s">
        <v>492</v>
      </c>
      <c r="C9" s="230"/>
      <c r="D9" s="230"/>
      <c r="E9" s="231"/>
      <c r="F9" s="226"/>
      <c r="G9" s="227">
        <f t="shared" si="0"/>
        <v>0</v>
      </c>
    </row>
    <row r="10" spans="1:7" ht="13.5" thickBot="1">
      <c r="A10" s="228" t="s">
        <v>233</v>
      </c>
      <c r="B10" s="229" t="s">
        <v>836</v>
      </c>
      <c r="C10" s="230"/>
      <c r="D10" s="230"/>
      <c r="E10" s="231"/>
      <c r="F10" s="226"/>
      <c r="G10" s="227">
        <f t="shared" si="0"/>
        <v>0</v>
      </c>
    </row>
    <row r="11" spans="1:7" ht="13.5" thickBot="1">
      <c r="A11" s="228" t="s">
        <v>471</v>
      </c>
      <c r="B11" s="234" t="s">
        <v>499</v>
      </c>
      <c r="C11" s="235"/>
      <c r="D11" s="235"/>
      <c r="E11" s="231"/>
      <c r="F11" s="226"/>
      <c r="G11" s="227">
        <f t="shared" si="0"/>
        <v>0</v>
      </c>
    </row>
    <row r="12" spans="1:7" ht="13.5" thickBot="1">
      <c r="A12" s="228" t="s">
        <v>338</v>
      </c>
      <c r="B12" s="234" t="s">
        <v>501</v>
      </c>
      <c r="C12" s="235"/>
      <c r="D12" s="235"/>
      <c r="E12" s="231"/>
      <c r="F12" s="226"/>
      <c r="G12" s="227">
        <f t="shared" si="0"/>
        <v>0</v>
      </c>
    </row>
    <row r="13" spans="1:7" ht="13.5" thickBot="1">
      <c r="A13" s="228" t="s">
        <v>502</v>
      </c>
      <c r="B13" s="234" t="s">
        <v>503</v>
      </c>
      <c r="C13" s="235"/>
      <c r="D13" s="235"/>
      <c r="E13" s="231"/>
      <c r="F13" s="226"/>
      <c r="G13" s="227">
        <f t="shared" si="0"/>
        <v>0</v>
      </c>
    </row>
    <row r="14" spans="1:7" ht="13.5" thickBot="1">
      <c r="A14" s="228" t="s">
        <v>504</v>
      </c>
      <c r="B14" s="234" t="s">
        <v>493</v>
      </c>
      <c r="C14" s="235"/>
      <c r="D14" s="235"/>
      <c r="E14" s="231"/>
      <c r="F14" s="226"/>
      <c r="G14" s="227">
        <f t="shared" si="0"/>
        <v>0</v>
      </c>
    </row>
    <row r="15" spans="1:7" ht="13.5" thickBot="1">
      <c r="A15" s="228" t="s">
        <v>758</v>
      </c>
      <c r="B15" s="234" t="s">
        <v>796</v>
      </c>
      <c r="C15" s="235"/>
      <c r="D15" s="235"/>
      <c r="E15" s="231"/>
      <c r="F15" s="226"/>
      <c r="G15" s="227">
        <f t="shared" si="0"/>
        <v>0</v>
      </c>
    </row>
    <row r="16" spans="1:7" ht="7.15" customHeight="1" thickBot="1">
      <c r="A16" s="236"/>
      <c r="B16" s="233"/>
      <c r="C16" s="233"/>
      <c r="D16" s="233"/>
      <c r="E16" s="233"/>
      <c r="F16" s="237"/>
    </row>
    <row r="17" spans="1:7" ht="14.45" customHeight="1" thickBot="1">
      <c r="A17" s="13" t="s">
        <v>174</v>
      </c>
      <c r="B17" s="14"/>
      <c r="C17" s="6" t="s">
        <v>22</v>
      </c>
      <c r="D17" s="6"/>
      <c r="E17" s="5">
        <v>0</v>
      </c>
      <c r="F17" s="21">
        <f>SUM(F5:F15)</f>
        <v>0</v>
      </c>
      <c r="G17" s="15">
        <f>SUM(G5:G16)</f>
        <v>0</v>
      </c>
    </row>
    <row r="18" spans="1:7" ht="31.9" customHeight="1">
      <c r="A18" s="16" t="s">
        <v>855</v>
      </c>
      <c r="B18" s="17"/>
      <c r="C18" s="239"/>
      <c r="D18" s="18" t="s">
        <v>487</v>
      </c>
      <c r="E18" s="18" t="s">
        <v>488</v>
      </c>
      <c r="F18" s="38" t="s">
        <v>1018</v>
      </c>
    </row>
    <row r="19" spans="1:7">
      <c r="A19" s="820"/>
      <c r="B19" s="821"/>
      <c r="C19" s="822"/>
      <c r="D19" s="240"/>
      <c r="E19" s="37"/>
      <c r="F19" s="39">
        <f>ROUND(D19*0.5,-1)</f>
        <v>0</v>
      </c>
    </row>
    <row r="20" spans="1:7" ht="13.5" thickBot="1">
      <c r="A20" s="19"/>
      <c r="B20" s="20"/>
      <c r="C20" s="235"/>
      <c r="D20" s="235"/>
      <c r="E20" s="235"/>
      <c r="F20" s="241"/>
    </row>
  </sheetData>
  <autoFilter ref="A4:F20"/>
  <mergeCells count="1">
    <mergeCell ref="A19:C19"/>
  </mergeCells>
  <pageMargins left="1.1811023622047245" right="0.78740157480314965" top="1.1811023622047245" bottom="1.1811023622047245" header="0.31496062992125984" footer="0.51181102362204722"/>
  <pageSetup paperSize="9" scale="58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84"/>
  <sheetViews>
    <sheetView showZeros="0" zoomScale="60" zoomScaleNormal="60" workbookViewId="0">
      <selection activeCell="J17" sqref="J17"/>
    </sheetView>
  </sheetViews>
  <sheetFormatPr defaultColWidth="12" defaultRowHeight="11.25"/>
  <cols>
    <col min="1" max="1" width="15.83203125" bestFit="1" customWidth="1"/>
    <col min="2" max="2" width="15.83203125" customWidth="1"/>
    <col min="3" max="3" width="59.6640625" customWidth="1"/>
    <col min="4" max="4" width="0.6640625" customWidth="1"/>
    <col min="5" max="5" width="11.1640625" customWidth="1"/>
    <col min="6" max="6" width="15.83203125" customWidth="1"/>
    <col min="7" max="7" width="12.6640625" customWidth="1"/>
    <col min="8" max="8" width="12.1640625" customWidth="1"/>
    <col min="9" max="9" width="12.83203125" bestFit="1" customWidth="1"/>
    <col min="10" max="10" width="16.1640625" bestFit="1" customWidth="1"/>
    <col min="11" max="11" width="8.1640625" customWidth="1"/>
    <col min="12" max="12" width="13.83203125" customWidth="1"/>
    <col min="13" max="13" width="13.5" customWidth="1"/>
    <col min="14" max="14" width="25.1640625" customWidth="1"/>
    <col min="15" max="15" width="21.5" customWidth="1"/>
    <col min="16" max="16" width="3.83203125" customWidth="1"/>
    <col min="17" max="17" width="18" customWidth="1"/>
    <col min="18" max="18" width="15.5" customWidth="1"/>
    <col min="19" max="19" width="14.6640625" customWidth="1"/>
    <col min="20" max="20" width="25.1640625" customWidth="1"/>
    <col min="21" max="23" width="23.1640625" customWidth="1"/>
    <col min="24" max="24" width="4.6640625" customWidth="1"/>
    <col min="25" max="25" width="19.5" customWidth="1"/>
    <col min="26" max="26" width="20.1640625" customWidth="1"/>
  </cols>
  <sheetData>
    <row r="1" spans="1:24" ht="17.100000000000001" customHeight="1" thickBot="1">
      <c r="A1" s="245"/>
      <c r="B1" s="245"/>
      <c r="C1" s="246"/>
      <c r="D1" s="246"/>
      <c r="E1" s="247"/>
      <c r="F1" s="245"/>
      <c r="G1" s="245"/>
      <c r="H1" s="247"/>
      <c r="I1" s="247"/>
      <c r="J1" s="247"/>
      <c r="K1" s="248"/>
      <c r="L1" s="247"/>
      <c r="M1" s="247"/>
      <c r="N1" s="247"/>
      <c r="O1" s="247"/>
      <c r="P1" s="247"/>
      <c r="Q1" s="247"/>
      <c r="R1" s="247"/>
      <c r="S1" s="247"/>
      <c r="T1" s="247"/>
      <c r="U1" s="247"/>
      <c r="V1" s="247"/>
      <c r="W1" s="247"/>
      <c r="X1" s="245"/>
    </row>
    <row r="2" spans="1:24" ht="70.5" customHeight="1" thickBot="1">
      <c r="A2" s="249" t="s">
        <v>167</v>
      </c>
      <c r="B2" s="250"/>
      <c r="C2" s="251" t="s">
        <v>54</v>
      </c>
      <c r="D2" s="252"/>
      <c r="E2" s="253" t="s">
        <v>55</v>
      </c>
      <c r="F2" s="254" t="s">
        <v>56</v>
      </c>
      <c r="G2" s="254" t="s">
        <v>57</v>
      </c>
      <c r="H2" s="255" t="s">
        <v>58</v>
      </c>
      <c r="I2" s="256" t="s">
        <v>96</v>
      </c>
      <c r="J2" s="257" t="s">
        <v>59</v>
      </c>
      <c r="K2" s="258" t="s">
        <v>803</v>
      </c>
      <c r="L2" s="259" t="s">
        <v>60</v>
      </c>
      <c r="M2" s="249" t="s">
        <v>166</v>
      </c>
      <c r="N2" s="249" t="s">
        <v>61</v>
      </c>
      <c r="O2" s="260" t="s">
        <v>62</v>
      </c>
      <c r="P2" s="261" t="s">
        <v>63</v>
      </c>
      <c r="Q2" s="260" t="s">
        <v>64</v>
      </c>
      <c r="R2" s="260" t="s">
        <v>65</v>
      </c>
      <c r="S2" s="260" t="s">
        <v>852</v>
      </c>
      <c r="T2" s="260" t="s">
        <v>66</v>
      </c>
      <c r="U2" s="260" t="s">
        <v>851</v>
      </c>
      <c r="V2" s="260" t="s">
        <v>850</v>
      </c>
      <c r="W2" s="260" t="s">
        <v>67</v>
      </c>
      <c r="X2" s="258" t="s">
        <v>68</v>
      </c>
    </row>
    <row r="3" spans="1:24" ht="16.5" thickBot="1">
      <c r="A3" s="245"/>
      <c r="B3" s="245"/>
      <c r="C3" s="262" t="s">
        <v>69</v>
      </c>
      <c r="D3" s="263"/>
      <c r="E3" s="34">
        <f>O3*0.846</f>
        <v>0.87983999999999996</v>
      </c>
      <c r="F3" s="34">
        <f>A3*0.231+M3*0.1+O3*0.0588+P3*0.18+Q3*0.27+R3*0.33+T3*0.005*0.434</f>
        <v>0.11541040000000001</v>
      </c>
      <c r="G3" s="34">
        <f>A3*0.6447+M3*0.51+O3*0.396+P3*1.06+Q3*0.96+R3*0.921+T3*0.005*1.575</f>
        <v>0.62209000000000003</v>
      </c>
      <c r="H3" s="34">
        <f>A3*(0.777+0.45)+M3*(1.5)+P3*1.11+Q3*1.11+R3*1.11</f>
        <v>0.20424000000000003</v>
      </c>
      <c r="I3" s="267"/>
      <c r="J3" s="265">
        <f>A3*306.45+M3*238+N3*90.76+O3*438+P3*340.38+Q3*378.52+R3*404.81+S3*411.043+T3*412.45*0.005+U3*17.12+V3*18.08+W3*19.34+X3*234.12+K3*436.99+I3*367.03</f>
        <v>1106.2077400000001</v>
      </c>
      <c r="K3" s="267"/>
      <c r="L3" s="34">
        <f>O3*0.0282</f>
        <v>2.9328E-2</v>
      </c>
      <c r="M3" s="247"/>
      <c r="N3" s="612">
        <f>ROUND(1.5*1.25/4,2)</f>
        <v>0.47</v>
      </c>
      <c r="O3" s="612">
        <f>ROUND(O4/1.5*1.2,2)</f>
        <v>1.04</v>
      </c>
      <c r="P3" s="612">
        <v>9.4E-2</v>
      </c>
      <c r="Q3" s="245"/>
      <c r="R3" s="612">
        <v>0.09</v>
      </c>
      <c r="S3" s="266"/>
      <c r="T3" s="612">
        <f>ROUND(T4/1.5*1.2,2)</f>
        <v>3.52</v>
      </c>
      <c r="U3" s="266"/>
      <c r="V3" s="266"/>
      <c r="W3" s="612">
        <v>15.42</v>
      </c>
      <c r="X3" s="613">
        <v>1</v>
      </c>
    </row>
    <row r="4" spans="1:24" ht="16.5" thickBot="1">
      <c r="A4" s="245"/>
      <c r="B4" s="245"/>
      <c r="C4" s="262" t="s">
        <v>70</v>
      </c>
      <c r="D4" s="263"/>
      <c r="E4" s="264">
        <f t="shared" ref="E4:E67" si="0">O4*0.846</f>
        <v>1.0998000000000001</v>
      </c>
      <c r="F4" s="264">
        <f t="shared" ref="F4:F67" si="1">A4*0.231+M4*0.1+O4*0.0588+P4*0.18+Q4*0.27+R4*0.33+T4*0.005*0.434</f>
        <v>0.132608</v>
      </c>
      <c r="G4" s="264">
        <f t="shared" ref="G4:G67" si="2">A4*0.6447+M4*0.51+O4*0.396+P4*1.06+Q4*0.96+R4*0.921+T4*0.005*1.575</f>
        <v>0.73198000000000008</v>
      </c>
      <c r="H4" s="264">
        <f>A4*(0.777+0.45)+M4*(1.5)+P4*1.11+Q4*1.11+R4*1.11</f>
        <v>0.20424000000000003</v>
      </c>
      <c r="I4" s="267"/>
      <c r="J4" s="265">
        <f t="shared" ref="J4:J67" si="3">A4*306.45+M4*238+N4*90.76+O4*438+P4*340.38+Q4*378.52+R4*404.81+S4*411.043+T4*412.45*0.005+U4*17.12+V4*18.08+W4*19.34+X4*234.12+K4*436.99+I4*367.03</f>
        <v>1221.9025200000001</v>
      </c>
      <c r="K4" s="267"/>
      <c r="L4" s="264">
        <f t="shared" ref="L4:L67" si="4">O4*0.0282</f>
        <v>3.6659999999999998E-2</v>
      </c>
      <c r="M4" s="247"/>
      <c r="N4" s="266">
        <f>ROUND(1.5*1.25/4,2)</f>
        <v>0.47</v>
      </c>
      <c r="O4" s="268">
        <f>ROUND(0.89*2*0.25*(1.5+0.75)*1.3,2)</f>
        <v>1.3</v>
      </c>
      <c r="P4" s="266">
        <v>9.4E-2</v>
      </c>
      <c r="Q4" s="245"/>
      <c r="R4" s="266">
        <v>0.09</v>
      </c>
      <c r="S4" s="266"/>
      <c r="T4" s="268">
        <v>4.4000000000000004</v>
      </c>
      <c r="U4" s="266"/>
      <c r="V4" s="266"/>
      <c r="W4" s="266">
        <v>15.42</v>
      </c>
      <c r="X4" s="245">
        <v>1</v>
      </c>
    </row>
    <row r="5" spans="1:24" ht="16.5" thickBot="1">
      <c r="A5" s="245"/>
      <c r="B5" s="245"/>
      <c r="C5" s="262" t="s">
        <v>71</v>
      </c>
      <c r="D5" s="263"/>
      <c r="E5" s="264">
        <f t="shared" si="0"/>
        <v>1.4635799999999999</v>
      </c>
      <c r="F5" s="264">
        <f t="shared" si="1"/>
        <v>0.1610819</v>
      </c>
      <c r="G5" s="264">
        <f t="shared" si="2"/>
        <v>0.91383625000000013</v>
      </c>
      <c r="H5" s="264">
        <f t="shared" ref="H5:H68" si="5">A5*(0.777+0.45)+M5*(1.5)+P5*1.11+Q5*1.11+R5*1.11</f>
        <v>0.20424000000000003</v>
      </c>
      <c r="I5" s="267"/>
      <c r="J5" s="265">
        <f t="shared" si="3"/>
        <v>1413.2740275000001</v>
      </c>
      <c r="K5" s="267"/>
      <c r="L5" s="264">
        <f t="shared" si="4"/>
        <v>4.8785999999999996E-2</v>
      </c>
      <c r="M5" s="247"/>
      <c r="N5" s="266">
        <f>ROUND(1.5*1.25/4,2)</f>
        <v>0.47</v>
      </c>
      <c r="O5" s="266">
        <f>ROUND(O4/1.5*2,2)</f>
        <v>1.73</v>
      </c>
      <c r="P5" s="266">
        <v>9.4E-2</v>
      </c>
      <c r="Q5" s="245"/>
      <c r="R5" s="266">
        <v>0.09</v>
      </c>
      <c r="S5" s="266"/>
      <c r="T5" s="266">
        <f>ROUND(T4/1.5*2,2)</f>
        <v>5.87</v>
      </c>
      <c r="U5" s="266"/>
      <c r="V5" s="266"/>
      <c r="W5" s="266">
        <v>15.42</v>
      </c>
      <c r="X5" s="245">
        <v>1</v>
      </c>
    </row>
    <row r="6" spans="1:24" ht="16.5" thickBot="1">
      <c r="A6" s="245"/>
      <c r="B6" s="245"/>
      <c r="C6" s="262" t="s">
        <v>72</v>
      </c>
      <c r="D6" s="263"/>
      <c r="E6" s="264">
        <f t="shared" si="0"/>
        <v>1.8358199999999998</v>
      </c>
      <c r="F6" s="264">
        <f t="shared" si="1"/>
        <v>0.19012209999999999</v>
      </c>
      <c r="G6" s="264">
        <f t="shared" si="2"/>
        <v>1.09957375</v>
      </c>
      <c r="H6" s="264">
        <f t="shared" si="5"/>
        <v>0.20424000000000003</v>
      </c>
      <c r="I6" s="267"/>
      <c r="J6" s="265">
        <f t="shared" si="3"/>
        <v>1609.0049125</v>
      </c>
      <c r="K6" s="267"/>
      <c r="L6" s="264">
        <f t="shared" si="4"/>
        <v>6.1193999999999998E-2</v>
      </c>
      <c r="M6" s="247"/>
      <c r="N6" s="266">
        <f>ROUND(1.5*1.25/4,2)</f>
        <v>0.47</v>
      </c>
      <c r="O6" s="266">
        <f>ROUND(O4/1.5*2.5,2)</f>
        <v>2.17</v>
      </c>
      <c r="P6" s="266">
        <v>9.4E-2</v>
      </c>
      <c r="Q6" s="245"/>
      <c r="R6" s="266">
        <v>0.09</v>
      </c>
      <c r="S6" s="266"/>
      <c r="T6" s="266">
        <f>ROUND(T4/1.5*2.5,2)</f>
        <v>7.33</v>
      </c>
      <c r="U6" s="266"/>
      <c r="V6" s="266"/>
      <c r="W6" s="266">
        <v>15.42</v>
      </c>
      <c r="X6" s="245">
        <v>1</v>
      </c>
    </row>
    <row r="7" spans="1:24" ht="16.5" thickBot="1">
      <c r="A7" s="245"/>
      <c r="B7" s="245"/>
      <c r="C7" s="262" t="s">
        <v>419</v>
      </c>
      <c r="D7" s="263"/>
      <c r="E7" s="264">
        <f t="shared" si="0"/>
        <v>0</v>
      </c>
      <c r="F7" s="264">
        <f t="shared" si="1"/>
        <v>0.43266000000000004</v>
      </c>
      <c r="G7" s="264">
        <f t="shared" si="2"/>
        <v>1.26997</v>
      </c>
      <c r="H7" s="264">
        <f t="shared" si="5"/>
        <v>1.5118200000000002</v>
      </c>
      <c r="I7" s="267"/>
      <c r="J7" s="265">
        <f t="shared" si="3"/>
        <v>895.78926000000001</v>
      </c>
      <c r="K7" s="267"/>
      <c r="L7" s="264">
        <f t="shared" si="4"/>
        <v>0</v>
      </c>
      <c r="M7" s="247"/>
      <c r="N7" s="266">
        <f>N11/2</f>
        <v>1.2949999999999999</v>
      </c>
      <c r="O7" s="266"/>
      <c r="P7" s="266">
        <v>0.112</v>
      </c>
      <c r="Q7" s="245"/>
      <c r="R7" s="266">
        <f>ROUND(1.58/1.45*1.15,2)</f>
        <v>1.25</v>
      </c>
      <c r="S7" s="266"/>
      <c r="T7" s="266"/>
      <c r="U7" s="266"/>
      <c r="V7" s="266"/>
      <c r="W7" s="266"/>
      <c r="X7" s="245">
        <v>1</v>
      </c>
    </row>
    <row r="8" spans="1:24" ht="16.5" thickBot="1">
      <c r="A8" s="245"/>
      <c r="B8" s="245"/>
      <c r="C8" s="262" t="s">
        <v>420</v>
      </c>
      <c r="D8" s="263"/>
      <c r="E8" s="264">
        <f t="shared" si="0"/>
        <v>0</v>
      </c>
      <c r="F8" s="264">
        <f t="shared" si="1"/>
        <v>0.54156000000000004</v>
      </c>
      <c r="G8" s="264">
        <f t="shared" si="2"/>
        <v>1.5739000000000001</v>
      </c>
      <c r="H8" s="264">
        <f t="shared" si="5"/>
        <v>1.8781200000000002</v>
      </c>
      <c r="I8" s="267"/>
      <c r="J8" s="265">
        <f t="shared" si="3"/>
        <v>1060.2349600000002</v>
      </c>
      <c r="K8" s="267"/>
      <c r="L8" s="264">
        <f t="shared" si="4"/>
        <v>0</v>
      </c>
      <c r="M8" s="247"/>
      <c r="N8" s="266">
        <f>N12/2</f>
        <v>1.635</v>
      </c>
      <c r="O8" s="266"/>
      <c r="P8" s="266">
        <v>0.112</v>
      </c>
      <c r="Q8" s="245"/>
      <c r="R8" s="266">
        <v>1.58</v>
      </c>
      <c r="S8" s="266"/>
      <c r="T8" s="266"/>
      <c r="U8" s="266"/>
      <c r="V8" s="266"/>
      <c r="W8" s="266"/>
      <c r="X8" s="245">
        <v>1</v>
      </c>
    </row>
    <row r="9" spans="1:24" ht="16.5" thickBot="1">
      <c r="A9" s="245"/>
      <c r="B9" s="245"/>
      <c r="C9" s="262" t="s">
        <v>421</v>
      </c>
      <c r="D9" s="263"/>
      <c r="E9" s="264">
        <f t="shared" si="0"/>
        <v>0</v>
      </c>
      <c r="F9" s="264">
        <f t="shared" si="1"/>
        <v>0.71976000000000007</v>
      </c>
      <c r="G9" s="264">
        <f t="shared" si="2"/>
        <v>2.0712400000000004</v>
      </c>
      <c r="H9" s="264">
        <f t="shared" si="5"/>
        <v>2.4775200000000002</v>
      </c>
      <c r="I9" s="267"/>
      <c r="J9" s="265">
        <f t="shared" si="3"/>
        <v>1330.1117600000002</v>
      </c>
      <c r="K9" s="267"/>
      <c r="L9" s="264">
        <f t="shared" si="4"/>
        <v>0</v>
      </c>
      <c r="M9" s="247"/>
      <c r="N9" s="266">
        <f>N13/2</f>
        <v>2.2000000000000002</v>
      </c>
      <c r="O9" s="266"/>
      <c r="P9" s="266">
        <v>0.112</v>
      </c>
      <c r="Q9" s="245"/>
      <c r="R9" s="266">
        <f>ROUND(1.58/1.45*1.95,2)</f>
        <v>2.12</v>
      </c>
      <c r="S9" s="266"/>
      <c r="T9" s="266"/>
      <c r="U9" s="266"/>
      <c r="V9" s="266"/>
      <c r="W9" s="266"/>
      <c r="X9" s="245">
        <v>1</v>
      </c>
    </row>
    <row r="10" spans="1:24" ht="16.5" thickBot="1">
      <c r="A10" s="245"/>
      <c r="B10" s="245"/>
      <c r="C10" s="262" t="s">
        <v>422</v>
      </c>
      <c r="D10" s="263"/>
      <c r="E10" s="264">
        <f t="shared" si="0"/>
        <v>0</v>
      </c>
      <c r="F10" s="264">
        <f t="shared" si="1"/>
        <v>0.90125999999999995</v>
      </c>
      <c r="G10" s="264">
        <f t="shared" si="2"/>
        <v>2.5777900000000002</v>
      </c>
      <c r="H10" s="264">
        <f t="shared" si="5"/>
        <v>3.0880200000000002</v>
      </c>
      <c r="I10" s="267"/>
      <c r="J10" s="265">
        <f t="shared" si="3"/>
        <v>1604.0366599999998</v>
      </c>
      <c r="K10" s="267"/>
      <c r="L10" s="264">
        <f t="shared" si="4"/>
        <v>0</v>
      </c>
      <c r="M10" s="247"/>
      <c r="N10" s="266">
        <f>N14/2</f>
        <v>2.7650000000000001</v>
      </c>
      <c r="O10" s="266"/>
      <c r="P10" s="266">
        <v>0.112</v>
      </c>
      <c r="Q10" s="245"/>
      <c r="R10" s="266">
        <f>ROUND(1.58/1.45*2.45,2)</f>
        <v>2.67</v>
      </c>
      <c r="S10" s="266"/>
      <c r="T10" s="266"/>
      <c r="U10" s="266"/>
      <c r="V10" s="266"/>
      <c r="W10" s="266"/>
      <c r="X10" s="245">
        <v>1</v>
      </c>
    </row>
    <row r="11" spans="1:24" ht="16.5" thickBot="1">
      <c r="A11" s="245"/>
      <c r="B11" s="245"/>
      <c r="C11" s="262" t="s">
        <v>108</v>
      </c>
      <c r="D11" s="263"/>
      <c r="E11" s="264">
        <f t="shared" si="0"/>
        <v>0</v>
      </c>
      <c r="F11" s="264">
        <f t="shared" si="1"/>
        <v>0.20478000000000002</v>
      </c>
      <c r="G11" s="264">
        <f t="shared" si="2"/>
        <v>0.60275000000000001</v>
      </c>
      <c r="H11" s="264">
        <f t="shared" si="5"/>
        <v>0.71706000000000003</v>
      </c>
      <c r="I11" s="267"/>
      <c r="J11" s="265">
        <f t="shared" si="3"/>
        <v>1723.0975800000001</v>
      </c>
      <c r="K11" s="267"/>
      <c r="L11" s="264">
        <f t="shared" si="4"/>
        <v>0</v>
      </c>
      <c r="M11" s="247"/>
      <c r="N11" s="266">
        <f>ROUND(N12/1.45*1.15,2)</f>
        <v>2.59</v>
      </c>
      <c r="O11" s="266"/>
      <c r="P11" s="266">
        <f>0.112/2</f>
        <v>5.6000000000000001E-2</v>
      </c>
      <c r="Q11" s="245"/>
      <c r="R11" s="266">
        <f>ROUND(R12/1.45*1.15,2)</f>
        <v>0.59</v>
      </c>
      <c r="S11" s="266"/>
      <c r="T11" s="266"/>
      <c r="U11" s="266"/>
      <c r="V11" s="266"/>
      <c r="W11" s="266">
        <f>ROUND(W12/1.45*1.15,2)</f>
        <v>51.5</v>
      </c>
      <c r="X11" s="245">
        <v>1</v>
      </c>
    </row>
    <row r="12" spans="1:24" ht="16.5" thickBot="1">
      <c r="A12" s="245"/>
      <c r="B12" s="245"/>
      <c r="C12" s="262" t="s">
        <v>105</v>
      </c>
      <c r="D12" s="263"/>
      <c r="E12" s="264">
        <f t="shared" si="0"/>
        <v>0</v>
      </c>
      <c r="F12" s="264">
        <f t="shared" si="1"/>
        <v>0.25757999999999998</v>
      </c>
      <c r="G12" s="264">
        <f t="shared" si="2"/>
        <v>0.75010999999999994</v>
      </c>
      <c r="H12" s="264">
        <f t="shared" si="5"/>
        <v>0.89466000000000001</v>
      </c>
      <c r="I12" s="267"/>
      <c r="J12" s="265">
        <f t="shared" si="3"/>
        <v>2109.5135799999998</v>
      </c>
      <c r="K12" s="267"/>
      <c r="L12" s="264">
        <f t="shared" si="4"/>
        <v>0</v>
      </c>
      <c r="M12" s="247"/>
      <c r="N12" s="268">
        <f>ROUND(9.8/3,2)</f>
        <v>3.27</v>
      </c>
      <c r="O12" s="266"/>
      <c r="P12" s="266">
        <f>0.112/2</f>
        <v>5.6000000000000001E-2</v>
      </c>
      <c r="Q12" s="245"/>
      <c r="R12" s="268">
        <v>0.75</v>
      </c>
      <c r="S12" s="268"/>
      <c r="T12" s="266"/>
      <c r="U12" s="268"/>
      <c r="V12" s="268"/>
      <c r="W12" s="268">
        <v>64.94</v>
      </c>
      <c r="X12" s="245">
        <v>1</v>
      </c>
    </row>
    <row r="13" spans="1:24" ht="16.5" thickBot="1">
      <c r="A13" s="245"/>
      <c r="B13" s="245"/>
      <c r="C13" s="262" t="s">
        <v>106</v>
      </c>
      <c r="D13" s="263"/>
      <c r="E13" s="264">
        <f t="shared" si="0"/>
        <v>0</v>
      </c>
      <c r="F13" s="264">
        <f t="shared" si="1"/>
        <v>0.34338000000000002</v>
      </c>
      <c r="G13" s="264">
        <f t="shared" si="2"/>
        <v>0.98957000000000006</v>
      </c>
      <c r="H13" s="264">
        <f t="shared" si="5"/>
        <v>1.1832600000000002</v>
      </c>
      <c r="I13" s="267"/>
      <c r="J13" s="265">
        <f t="shared" si="3"/>
        <v>2317.3229799999999</v>
      </c>
      <c r="K13" s="267"/>
      <c r="L13" s="264">
        <f t="shared" si="4"/>
        <v>0</v>
      </c>
      <c r="M13" s="247"/>
      <c r="N13" s="266">
        <f>ROUND(N12/1.45*1.95,2)</f>
        <v>4.4000000000000004</v>
      </c>
      <c r="O13" s="266"/>
      <c r="P13" s="266">
        <f>0.112/2</f>
        <v>5.6000000000000001E-2</v>
      </c>
      <c r="Q13" s="245"/>
      <c r="R13" s="266">
        <f>ROUND(R12/1.45*1.95,2)</f>
        <v>1.01</v>
      </c>
      <c r="S13" s="266"/>
      <c r="T13" s="266"/>
      <c r="U13" s="266"/>
      <c r="V13" s="266"/>
      <c r="W13" s="266">
        <f>ROUND(W12/1.95*1.95,2)</f>
        <v>64.94</v>
      </c>
      <c r="X13" s="245">
        <v>1</v>
      </c>
    </row>
    <row r="14" spans="1:24" ht="16.5" thickBot="1">
      <c r="A14" s="245"/>
      <c r="B14" s="245"/>
      <c r="C14" s="262" t="s">
        <v>107</v>
      </c>
      <c r="D14" s="263"/>
      <c r="E14" s="264">
        <f t="shared" si="0"/>
        <v>0</v>
      </c>
      <c r="F14" s="264">
        <f t="shared" si="1"/>
        <v>0.42918000000000001</v>
      </c>
      <c r="G14" s="264">
        <f t="shared" si="2"/>
        <v>1.2290300000000001</v>
      </c>
      <c r="H14" s="264">
        <f t="shared" si="5"/>
        <v>1.4718600000000002</v>
      </c>
      <c r="I14" s="267"/>
      <c r="J14" s="265">
        <f t="shared" si="3"/>
        <v>2847.14338</v>
      </c>
      <c r="K14" s="267"/>
      <c r="L14" s="264">
        <f t="shared" si="4"/>
        <v>0</v>
      </c>
      <c r="M14" s="247"/>
      <c r="N14" s="266">
        <f>ROUND(N12/1.45*2.45,2)</f>
        <v>5.53</v>
      </c>
      <c r="O14" s="266"/>
      <c r="P14" s="266">
        <f>0.112/2</f>
        <v>5.6000000000000001E-2</v>
      </c>
      <c r="Q14" s="245"/>
      <c r="R14" s="266">
        <f>ROUND(R12/1.45*2.45,2)</f>
        <v>1.27</v>
      </c>
      <c r="S14" s="266"/>
      <c r="T14" s="266"/>
      <c r="U14" s="266"/>
      <c r="V14" s="266"/>
      <c r="W14" s="266">
        <f>ROUND(W12/1.95*2.45,2)</f>
        <v>81.59</v>
      </c>
      <c r="X14" s="245">
        <v>1</v>
      </c>
    </row>
    <row r="15" spans="1:24" ht="16.5" thickBot="1">
      <c r="A15" s="245"/>
      <c r="B15" s="245"/>
      <c r="C15" s="262" t="s">
        <v>101</v>
      </c>
      <c r="D15" s="263"/>
      <c r="E15" s="264">
        <f t="shared" si="0"/>
        <v>1.6716959999999998</v>
      </c>
      <c r="F15" s="264">
        <f t="shared" si="1"/>
        <v>0.2047668</v>
      </c>
      <c r="G15" s="264">
        <f t="shared" si="2"/>
        <v>1.1293030000000002</v>
      </c>
      <c r="H15" s="264">
        <f t="shared" si="5"/>
        <v>0.38805600000000001</v>
      </c>
      <c r="I15" s="267"/>
      <c r="J15" s="265">
        <f t="shared" si="3"/>
        <v>2111.4143779999999</v>
      </c>
      <c r="K15" s="267"/>
      <c r="L15" s="264">
        <f t="shared" si="4"/>
        <v>5.5723200000000001E-2</v>
      </c>
      <c r="M15" s="247"/>
      <c r="N15" s="266">
        <f>N3*1.9</f>
        <v>0.8929999999999999</v>
      </c>
      <c r="O15" s="266">
        <f>O3*1.9</f>
        <v>1.976</v>
      </c>
      <c r="P15" s="266">
        <f>P3*1.9</f>
        <v>0.17859999999999998</v>
      </c>
      <c r="Q15" s="245"/>
      <c r="R15" s="266">
        <f>R3*1.9</f>
        <v>0.17099999999999999</v>
      </c>
      <c r="S15" s="266"/>
      <c r="T15" s="266"/>
      <c r="U15" s="266"/>
      <c r="V15" s="266"/>
      <c r="W15" s="266">
        <f>W3*1.9</f>
        <v>29.297999999999998</v>
      </c>
      <c r="X15" s="245">
        <v>2</v>
      </c>
    </row>
    <row r="16" spans="1:24" ht="16.5" thickBot="1">
      <c r="A16" s="245"/>
      <c r="B16" s="245"/>
      <c r="C16" s="262" t="s">
        <v>102</v>
      </c>
      <c r="D16" s="263"/>
      <c r="E16" s="264">
        <f t="shared" si="0"/>
        <v>2.0896199999999996</v>
      </c>
      <c r="F16" s="264">
        <f t="shared" si="1"/>
        <v>0.23381399999999999</v>
      </c>
      <c r="G16" s="264">
        <f t="shared" si="2"/>
        <v>1.324927</v>
      </c>
      <c r="H16" s="264">
        <f t="shared" si="5"/>
        <v>0.38805600000000001</v>
      </c>
      <c r="I16" s="267"/>
      <c r="J16" s="265">
        <f t="shared" si="3"/>
        <v>2327.7863779999998</v>
      </c>
      <c r="K16" s="267"/>
      <c r="L16" s="264">
        <f t="shared" si="4"/>
        <v>6.9653999999999994E-2</v>
      </c>
      <c r="M16" s="247"/>
      <c r="N16" s="266">
        <f t="shared" ref="N16:P18" si="6">N4*1.9</f>
        <v>0.8929999999999999</v>
      </c>
      <c r="O16" s="266">
        <f t="shared" si="6"/>
        <v>2.4699999999999998</v>
      </c>
      <c r="P16" s="266">
        <f t="shared" si="6"/>
        <v>0.17859999999999998</v>
      </c>
      <c r="Q16" s="245"/>
      <c r="R16" s="266">
        <f>R4*1.9</f>
        <v>0.17099999999999999</v>
      </c>
      <c r="S16" s="266"/>
      <c r="T16" s="266"/>
      <c r="U16" s="266"/>
      <c r="V16" s="266"/>
      <c r="W16" s="266">
        <f>W4*1.9</f>
        <v>29.297999999999998</v>
      </c>
      <c r="X16" s="245">
        <v>2</v>
      </c>
    </row>
    <row r="17" spans="1:26" ht="16.5" thickBot="1">
      <c r="A17" s="245"/>
      <c r="B17" s="245"/>
      <c r="C17" s="262" t="s">
        <v>103</v>
      </c>
      <c r="D17" s="263"/>
      <c r="E17" s="264">
        <f t="shared" si="0"/>
        <v>2.780802</v>
      </c>
      <c r="F17" s="264">
        <f t="shared" si="1"/>
        <v>0.28185359999999998</v>
      </c>
      <c r="G17" s="264">
        <f t="shared" si="2"/>
        <v>1.6484590000000001</v>
      </c>
      <c r="H17" s="264">
        <f t="shared" si="5"/>
        <v>0.38805600000000001</v>
      </c>
      <c r="I17" s="267"/>
      <c r="J17" s="265">
        <f t="shared" si="3"/>
        <v>2685.6323780000002</v>
      </c>
      <c r="K17" s="267"/>
      <c r="L17" s="264">
        <f t="shared" si="4"/>
        <v>9.2693399999999995E-2</v>
      </c>
      <c r="M17" s="247"/>
      <c r="N17" s="266">
        <f t="shared" si="6"/>
        <v>0.8929999999999999</v>
      </c>
      <c r="O17" s="266">
        <f t="shared" si="6"/>
        <v>3.2869999999999999</v>
      </c>
      <c r="P17" s="266">
        <f t="shared" si="6"/>
        <v>0.17859999999999998</v>
      </c>
      <c r="Q17" s="245"/>
      <c r="R17" s="266">
        <f>R5*1.9</f>
        <v>0.17099999999999999</v>
      </c>
      <c r="S17" s="266"/>
      <c r="T17" s="266"/>
      <c r="U17" s="266"/>
      <c r="V17" s="266"/>
      <c r="W17" s="266">
        <f>W5*1.9</f>
        <v>29.297999999999998</v>
      </c>
      <c r="X17" s="245">
        <v>2</v>
      </c>
    </row>
    <row r="18" spans="1:26" ht="16.5" thickBot="1">
      <c r="A18" s="245"/>
      <c r="B18" s="245"/>
      <c r="C18" s="262" t="s">
        <v>104</v>
      </c>
      <c r="D18" s="263"/>
      <c r="E18" s="264">
        <f t="shared" si="0"/>
        <v>3.4880579999999992</v>
      </c>
      <c r="F18" s="264">
        <f t="shared" si="1"/>
        <v>0.33101039999999993</v>
      </c>
      <c r="G18" s="264">
        <f t="shared" si="2"/>
        <v>1.9795149999999999</v>
      </c>
      <c r="H18" s="264">
        <f t="shared" si="5"/>
        <v>0.38805600000000001</v>
      </c>
      <c r="I18" s="267"/>
      <c r="J18" s="265">
        <f t="shared" si="3"/>
        <v>3051.8003779999999</v>
      </c>
      <c r="K18" s="267"/>
      <c r="L18" s="264">
        <f t="shared" si="4"/>
        <v>0.11626859999999997</v>
      </c>
      <c r="M18" s="247"/>
      <c r="N18" s="266">
        <f t="shared" si="6"/>
        <v>0.8929999999999999</v>
      </c>
      <c r="O18" s="266">
        <f t="shared" si="6"/>
        <v>4.1229999999999993</v>
      </c>
      <c r="P18" s="266">
        <f t="shared" si="6"/>
        <v>0.17859999999999998</v>
      </c>
      <c r="Q18" s="245"/>
      <c r="R18" s="266">
        <f>R6*1.9</f>
        <v>0.17099999999999999</v>
      </c>
      <c r="S18" s="266"/>
      <c r="T18" s="266"/>
      <c r="U18" s="266"/>
      <c r="V18" s="266"/>
      <c r="W18" s="266">
        <f>W6*1.9</f>
        <v>29.297999999999998</v>
      </c>
      <c r="X18" s="245">
        <v>2</v>
      </c>
    </row>
    <row r="19" spans="1:26" ht="16.5" thickBot="1">
      <c r="A19" s="245"/>
      <c r="B19" s="245"/>
      <c r="C19" s="262" t="s">
        <v>423</v>
      </c>
      <c r="D19" s="263"/>
      <c r="E19" s="264">
        <f t="shared" si="0"/>
        <v>0</v>
      </c>
      <c r="F19" s="264">
        <f t="shared" si="1"/>
        <v>0.82205400000000006</v>
      </c>
      <c r="G19" s="264">
        <f t="shared" si="2"/>
        <v>2.4129430000000003</v>
      </c>
      <c r="H19" s="264">
        <f t="shared" si="5"/>
        <v>2.8724580000000004</v>
      </c>
      <c r="I19" s="267"/>
      <c r="J19" s="265">
        <f t="shared" si="3"/>
        <v>1725.4115939999999</v>
      </c>
      <c r="K19" s="267"/>
      <c r="L19" s="264">
        <f t="shared" si="4"/>
        <v>0</v>
      </c>
      <c r="M19" s="247"/>
      <c r="N19" s="266">
        <f>1.9*N7</f>
        <v>2.4604999999999997</v>
      </c>
      <c r="O19" s="266"/>
      <c r="P19" s="266">
        <f t="shared" ref="P19:P26" si="7">1.9*P7</f>
        <v>0.21279999999999999</v>
      </c>
      <c r="Q19" s="245"/>
      <c r="R19" s="266">
        <f t="shared" ref="R19:R26" si="8">1.9*R7</f>
        <v>2.375</v>
      </c>
      <c r="S19" s="266"/>
      <c r="T19" s="266"/>
      <c r="U19" s="266"/>
      <c r="V19" s="266"/>
      <c r="W19" s="266"/>
      <c r="X19" s="245">
        <v>2</v>
      </c>
    </row>
    <row r="20" spans="1:26" ht="16.5" thickBot="1">
      <c r="A20" s="245"/>
      <c r="B20" s="245"/>
      <c r="C20" s="262" t="s">
        <v>424</v>
      </c>
      <c r="D20" s="263"/>
      <c r="E20" s="264">
        <f t="shared" si="0"/>
        <v>0</v>
      </c>
      <c r="F20" s="264">
        <f t="shared" si="1"/>
        <v>1.028964</v>
      </c>
      <c r="G20" s="264">
        <f t="shared" si="2"/>
        <v>2.9904099999999998</v>
      </c>
      <c r="H20" s="264">
        <f t="shared" si="5"/>
        <v>3.5684279999999999</v>
      </c>
      <c r="I20" s="267"/>
      <c r="J20" s="265">
        <f t="shared" si="3"/>
        <v>2037.8584239999998</v>
      </c>
      <c r="K20" s="267"/>
      <c r="L20" s="264">
        <f t="shared" si="4"/>
        <v>0</v>
      </c>
      <c r="M20" s="247"/>
      <c r="N20" s="266">
        <f t="shared" ref="N20:N26" si="9">1.9*N8</f>
        <v>3.1065</v>
      </c>
      <c r="O20" s="266"/>
      <c r="P20" s="266">
        <f t="shared" si="7"/>
        <v>0.21279999999999999</v>
      </c>
      <c r="Q20" s="245"/>
      <c r="R20" s="266">
        <f t="shared" si="8"/>
        <v>3.0019999999999998</v>
      </c>
      <c r="S20" s="266"/>
      <c r="T20" s="266"/>
      <c r="U20" s="266"/>
      <c r="V20" s="266"/>
      <c r="W20" s="266"/>
      <c r="X20" s="245">
        <v>2</v>
      </c>
    </row>
    <row r="21" spans="1:26" ht="16.5" thickBot="1">
      <c r="A21" s="245"/>
      <c r="B21" s="245"/>
      <c r="C21" s="262" t="s">
        <v>425</v>
      </c>
      <c r="D21" s="263"/>
      <c r="E21" s="264">
        <f t="shared" si="0"/>
        <v>0</v>
      </c>
      <c r="F21" s="264">
        <f t="shared" si="1"/>
        <v>1.3675439999999999</v>
      </c>
      <c r="G21" s="264">
        <f t="shared" si="2"/>
        <v>3.9353559999999996</v>
      </c>
      <c r="H21" s="264">
        <f t="shared" si="5"/>
        <v>4.7072880000000001</v>
      </c>
      <c r="I21" s="267"/>
      <c r="J21" s="265">
        <f t="shared" si="3"/>
        <v>2550.6243439999998</v>
      </c>
      <c r="K21" s="267"/>
      <c r="L21" s="264">
        <f t="shared" si="4"/>
        <v>0</v>
      </c>
      <c r="M21" s="247"/>
      <c r="N21" s="266">
        <f t="shared" si="9"/>
        <v>4.18</v>
      </c>
      <c r="O21" s="266"/>
      <c r="P21" s="266">
        <f t="shared" si="7"/>
        <v>0.21279999999999999</v>
      </c>
      <c r="Q21" s="245"/>
      <c r="R21" s="266">
        <f t="shared" si="8"/>
        <v>4.0279999999999996</v>
      </c>
      <c r="S21" s="266"/>
      <c r="T21" s="266"/>
      <c r="U21" s="266"/>
      <c r="V21" s="266"/>
      <c r="W21" s="266"/>
      <c r="X21" s="245">
        <v>2</v>
      </c>
    </row>
    <row r="22" spans="1:26" ht="16.5" thickBot="1">
      <c r="A22" s="245"/>
      <c r="B22" s="245"/>
      <c r="C22" s="262" t="s">
        <v>426</v>
      </c>
      <c r="D22" s="263"/>
      <c r="E22" s="264">
        <f t="shared" si="0"/>
        <v>0</v>
      </c>
      <c r="F22" s="264">
        <f t="shared" si="1"/>
        <v>1.7123939999999997</v>
      </c>
      <c r="G22" s="264">
        <f t="shared" si="2"/>
        <v>4.8978009999999994</v>
      </c>
      <c r="H22" s="264">
        <f t="shared" si="5"/>
        <v>5.8672380000000004</v>
      </c>
      <c r="I22" s="267"/>
      <c r="J22" s="265">
        <f t="shared" si="3"/>
        <v>3071.0816539999996</v>
      </c>
      <c r="K22" s="267"/>
      <c r="L22" s="264">
        <f t="shared" si="4"/>
        <v>0</v>
      </c>
      <c r="M22" s="247"/>
      <c r="N22" s="266">
        <f t="shared" si="9"/>
        <v>5.2534999999999998</v>
      </c>
      <c r="O22" s="266"/>
      <c r="P22" s="266">
        <f t="shared" si="7"/>
        <v>0.21279999999999999</v>
      </c>
      <c r="Q22" s="245"/>
      <c r="R22" s="266">
        <f t="shared" si="8"/>
        <v>5.0729999999999995</v>
      </c>
      <c r="S22" s="266"/>
      <c r="T22" s="266"/>
      <c r="U22" s="266"/>
      <c r="V22" s="266"/>
      <c r="W22" s="266"/>
      <c r="X22" s="245">
        <v>2</v>
      </c>
    </row>
    <row r="23" spans="1:26" ht="16.5" thickBot="1">
      <c r="A23" s="245"/>
      <c r="B23" s="245"/>
      <c r="C23" s="262" t="s">
        <v>112</v>
      </c>
      <c r="D23" s="263"/>
      <c r="E23" s="264">
        <f t="shared" si="0"/>
        <v>0</v>
      </c>
      <c r="F23" s="264">
        <f t="shared" si="1"/>
        <v>0.38908200000000004</v>
      </c>
      <c r="G23" s="264">
        <f t="shared" si="2"/>
        <v>1.1452249999999999</v>
      </c>
      <c r="H23" s="264">
        <f t="shared" si="5"/>
        <v>1.362414</v>
      </c>
      <c r="I23" s="267"/>
      <c r="J23" s="265">
        <f t="shared" si="3"/>
        <v>3297.2974020000001</v>
      </c>
      <c r="K23" s="267"/>
      <c r="L23" s="264">
        <f t="shared" si="4"/>
        <v>0</v>
      </c>
      <c r="M23" s="247"/>
      <c r="N23" s="266">
        <f>1.9*N11</f>
        <v>4.9209999999999994</v>
      </c>
      <c r="O23" s="266"/>
      <c r="P23" s="266">
        <f t="shared" si="7"/>
        <v>0.10639999999999999</v>
      </c>
      <c r="Q23" s="245"/>
      <c r="R23" s="266">
        <f>1.9*R11</f>
        <v>1.121</v>
      </c>
      <c r="S23" s="266"/>
      <c r="T23" s="266"/>
      <c r="U23" s="266"/>
      <c r="V23" s="266"/>
      <c r="W23" s="266">
        <f>1.9*W11</f>
        <v>97.85</v>
      </c>
      <c r="X23" s="245">
        <v>2</v>
      </c>
    </row>
    <row r="24" spans="1:26" ht="16.5" thickBot="1">
      <c r="A24" s="245"/>
      <c r="B24" s="245"/>
      <c r="C24" s="262" t="s">
        <v>109</v>
      </c>
      <c r="D24" s="263"/>
      <c r="E24" s="264">
        <f t="shared" si="0"/>
        <v>0</v>
      </c>
      <c r="F24" s="264">
        <f t="shared" si="1"/>
        <v>0.48940199999999995</v>
      </c>
      <c r="G24" s="264">
        <f t="shared" si="2"/>
        <v>1.4252089999999999</v>
      </c>
      <c r="H24" s="264">
        <f t="shared" si="5"/>
        <v>1.699854</v>
      </c>
      <c r="I24" s="267"/>
      <c r="J24" s="265">
        <f t="shared" si="3"/>
        <v>4031.4878019999996</v>
      </c>
      <c r="K24" s="267"/>
      <c r="L24" s="264">
        <f t="shared" si="4"/>
        <v>0</v>
      </c>
      <c r="M24" s="247"/>
      <c r="N24" s="266">
        <f t="shared" si="9"/>
        <v>6.2130000000000001</v>
      </c>
      <c r="O24" s="266"/>
      <c r="P24" s="266">
        <f t="shared" si="7"/>
        <v>0.10639999999999999</v>
      </c>
      <c r="Q24" s="245"/>
      <c r="R24" s="266">
        <f t="shared" si="8"/>
        <v>1.4249999999999998</v>
      </c>
      <c r="S24" s="266"/>
      <c r="T24" s="266"/>
      <c r="U24" s="266"/>
      <c r="V24" s="266"/>
      <c r="W24" s="266">
        <f>1.9*W12</f>
        <v>123.386</v>
      </c>
      <c r="X24" s="245">
        <v>2</v>
      </c>
    </row>
    <row r="25" spans="1:26" ht="16.5" thickBot="1">
      <c r="A25" s="245"/>
      <c r="B25" s="245"/>
      <c r="C25" s="262" t="s">
        <v>110</v>
      </c>
      <c r="D25" s="263"/>
      <c r="E25" s="264">
        <f t="shared" si="0"/>
        <v>0</v>
      </c>
      <c r="F25" s="264">
        <f t="shared" si="1"/>
        <v>0.65242199999999995</v>
      </c>
      <c r="G25" s="264">
        <f t="shared" si="2"/>
        <v>1.8801829999999999</v>
      </c>
      <c r="H25" s="264">
        <f t="shared" si="5"/>
        <v>2.2481940000000002</v>
      </c>
      <c r="I25" s="267"/>
      <c r="J25" s="265">
        <f t="shared" si="3"/>
        <v>4426.3256619999993</v>
      </c>
      <c r="K25" s="267"/>
      <c r="L25" s="264">
        <f t="shared" si="4"/>
        <v>0</v>
      </c>
      <c r="M25" s="247"/>
      <c r="N25" s="266">
        <f t="shared" si="9"/>
        <v>8.36</v>
      </c>
      <c r="O25" s="266"/>
      <c r="P25" s="266">
        <f t="shared" si="7"/>
        <v>0.10639999999999999</v>
      </c>
      <c r="Q25" s="245"/>
      <c r="R25" s="266">
        <f t="shared" si="8"/>
        <v>1.9189999999999998</v>
      </c>
      <c r="S25" s="266"/>
      <c r="T25" s="266"/>
      <c r="U25" s="266"/>
      <c r="V25" s="266"/>
      <c r="W25" s="266">
        <f>1.9*W13</f>
        <v>123.386</v>
      </c>
      <c r="X25" s="245">
        <v>2</v>
      </c>
    </row>
    <row r="26" spans="1:26" ht="16.5" thickBot="1">
      <c r="A26" s="245"/>
      <c r="B26" s="245"/>
      <c r="C26" s="262" t="s">
        <v>111</v>
      </c>
      <c r="D26" s="263"/>
      <c r="E26" s="264">
        <f t="shared" si="0"/>
        <v>0</v>
      </c>
      <c r="F26" s="264">
        <f t="shared" si="1"/>
        <v>0.81544199999999989</v>
      </c>
      <c r="G26" s="264">
        <f t="shared" si="2"/>
        <v>2.3351569999999997</v>
      </c>
      <c r="H26" s="264">
        <f t="shared" si="5"/>
        <v>2.7965340000000003</v>
      </c>
      <c r="I26" s="267"/>
      <c r="J26" s="265">
        <f t="shared" si="3"/>
        <v>5432.9844219999995</v>
      </c>
      <c r="K26" s="267"/>
      <c r="L26" s="264">
        <f t="shared" si="4"/>
        <v>0</v>
      </c>
      <c r="M26" s="247"/>
      <c r="N26" s="266">
        <f t="shared" si="9"/>
        <v>10.507</v>
      </c>
      <c r="O26" s="266"/>
      <c r="P26" s="266">
        <f t="shared" si="7"/>
        <v>0.10639999999999999</v>
      </c>
      <c r="Q26" s="245"/>
      <c r="R26" s="266">
        <f t="shared" si="8"/>
        <v>2.4129999999999998</v>
      </c>
      <c r="S26" s="266"/>
      <c r="T26" s="266"/>
      <c r="U26" s="266"/>
      <c r="V26" s="266"/>
      <c r="W26" s="266">
        <f>1.9*W14</f>
        <v>155.02099999999999</v>
      </c>
      <c r="X26" s="245">
        <v>2</v>
      </c>
    </row>
    <row r="27" spans="1:26" s="35" customFormat="1" ht="16.5" thickBot="1">
      <c r="A27" s="27"/>
      <c r="B27" s="27"/>
      <c r="C27" s="32" t="s">
        <v>99</v>
      </c>
      <c r="D27" s="33"/>
      <c r="E27" s="34">
        <f t="shared" si="0"/>
        <v>0.17055359999999997</v>
      </c>
      <c r="F27" s="34">
        <f t="shared" si="1"/>
        <v>9.9453823999999996E-2</v>
      </c>
      <c r="G27" s="34">
        <f t="shared" si="2"/>
        <v>0.3618486528</v>
      </c>
      <c r="H27" s="264">
        <f t="shared" si="5"/>
        <v>0.308576448</v>
      </c>
      <c r="I27" s="23"/>
      <c r="J27" s="265">
        <f t="shared" si="3"/>
        <v>399.28746636799997</v>
      </c>
      <c r="K27" s="23"/>
      <c r="L27" s="34">
        <f t="shared" si="4"/>
        <v>5.6851199999999992E-3</v>
      </c>
      <c r="M27" s="28"/>
      <c r="N27" s="26">
        <f>(0.88*0.88+4*0.09*0.09*0.8)/2.5</f>
        <v>0.32012799999999997</v>
      </c>
      <c r="O27" s="26">
        <f>2*(0.7+0.7)*0.8*0.09</f>
        <v>0.20159999999999997</v>
      </c>
      <c r="P27" s="26">
        <v>0.06</v>
      </c>
      <c r="Q27" s="27"/>
      <c r="R27" s="26">
        <f>3*N27*2*0.1+0.09*0.09*0.8*4</f>
        <v>0.21799679999999999</v>
      </c>
      <c r="S27" s="26"/>
      <c r="T27" s="26">
        <f>4*(0.7+0.7)/2*0.8</f>
        <v>2.2399999999999998</v>
      </c>
      <c r="U27" s="26"/>
      <c r="V27" s="26"/>
      <c r="W27" s="266">
        <f>40*R27</f>
        <v>8.7198719999999987</v>
      </c>
      <c r="X27" s="27"/>
      <c r="Y27"/>
      <c r="Z27"/>
    </row>
    <row r="28" spans="1:26" ht="16.5" thickBot="1">
      <c r="A28" s="245"/>
      <c r="B28" s="245"/>
      <c r="C28" s="262" t="s">
        <v>100</v>
      </c>
      <c r="D28" s="263"/>
      <c r="E28" s="264">
        <f t="shared" si="0"/>
        <v>0.28019519999999998</v>
      </c>
      <c r="F28" s="264">
        <f t="shared" si="1"/>
        <v>0.14735024000000002</v>
      </c>
      <c r="G28" s="264">
        <f t="shared" si="2"/>
        <v>0.52819569600000005</v>
      </c>
      <c r="H28" s="264">
        <f t="shared" si="5"/>
        <v>0.43353936000000004</v>
      </c>
      <c r="I28" s="267"/>
      <c r="J28" s="265">
        <f t="shared" si="3"/>
        <v>607.73563376000004</v>
      </c>
      <c r="K28" s="267"/>
      <c r="L28" s="264">
        <f t="shared" si="4"/>
        <v>9.3398400000000003E-3</v>
      </c>
      <c r="M28" s="247"/>
      <c r="N28" s="266">
        <f>(1.1*1.1+4*0.09*0.09*1)/2.5</f>
        <v>0.49696000000000007</v>
      </c>
      <c r="O28" s="266">
        <f>2*(0.92+0.92)*1*0.09</f>
        <v>0.33119999999999999</v>
      </c>
      <c r="P28" s="266">
        <v>0.06</v>
      </c>
      <c r="Q28" s="245"/>
      <c r="R28" s="266">
        <f>3*N28*2*0.1+0.09*0.09*1*4</f>
        <v>0.33057600000000004</v>
      </c>
      <c r="S28" s="266"/>
      <c r="T28" s="266">
        <f>4*(0.92+0.92)/2*1</f>
        <v>3.68</v>
      </c>
      <c r="U28" s="266"/>
      <c r="V28" s="266"/>
      <c r="W28" s="266">
        <f t="shared" ref="W28:W31" si="10">40*R28</f>
        <v>13.223040000000001</v>
      </c>
      <c r="X28" s="245"/>
    </row>
    <row r="29" spans="1:26" ht="16.5" thickBot="1">
      <c r="A29" s="245"/>
      <c r="B29" s="245"/>
      <c r="C29" s="262" t="s">
        <v>73</v>
      </c>
      <c r="D29" s="263"/>
      <c r="E29" s="264">
        <f t="shared" si="0"/>
        <v>0.6822144</v>
      </c>
      <c r="F29" s="264">
        <f t="shared" si="1"/>
        <v>0.25613760000000002</v>
      </c>
      <c r="G29" s="264">
        <f t="shared" si="2"/>
        <v>0.95694329600000005</v>
      </c>
      <c r="H29" s="264">
        <f t="shared" si="5"/>
        <v>0.70038336000000012</v>
      </c>
      <c r="I29" s="267"/>
      <c r="J29" s="265">
        <f t="shared" si="3"/>
        <v>1110.7009230933334</v>
      </c>
      <c r="K29" s="267"/>
      <c r="L29" s="264">
        <f t="shared" si="4"/>
        <v>2.274048E-2</v>
      </c>
      <c r="M29" s="247"/>
      <c r="N29" s="266">
        <f>(1.48*1.48+4*0.14*0.14*1.2)/3</f>
        <v>0.76149333333333324</v>
      </c>
      <c r="O29" s="266">
        <f>2*(1.2+1.2)*1.2*0.14</f>
        <v>0.80640000000000001</v>
      </c>
      <c r="P29" s="266">
        <v>0.08</v>
      </c>
      <c r="Q29" s="245"/>
      <c r="R29" s="266">
        <f>3*N29*2*0.1+0.14*0.14*1.2*4</f>
        <v>0.55097600000000002</v>
      </c>
      <c r="S29" s="266"/>
      <c r="T29" s="266">
        <f>4*(1.2+1.2)/2*1.2</f>
        <v>5.76</v>
      </c>
      <c r="U29" s="266"/>
      <c r="V29" s="266"/>
      <c r="W29" s="266">
        <f t="shared" si="10"/>
        <v>22.03904</v>
      </c>
      <c r="X29" s="245"/>
    </row>
    <row r="30" spans="1:26" ht="16.5" thickBot="1">
      <c r="A30" s="245"/>
      <c r="B30" s="245"/>
      <c r="C30" s="262" t="s">
        <v>74</v>
      </c>
      <c r="D30" s="263"/>
      <c r="E30" s="264">
        <f t="shared" si="0"/>
        <v>0.92856959999999988</v>
      </c>
      <c r="F30" s="264">
        <f t="shared" si="1"/>
        <v>0.33109503999999995</v>
      </c>
      <c r="G30" s="264">
        <f t="shared" si="2"/>
        <v>1.2541824319999999</v>
      </c>
      <c r="H30" s="264">
        <f t="shared" si="5"/>
        <v>0.89487311999999997</v>
      </c>
      <c r="I30" s="267"/>
      <c r="J30" s="265">
        <f t="shared" si="3"/>
        <v>1443.4658685866666</v>
      </c>
      <c r="K30" s="267"/>
      <c r="L30" s="264">
        <f t="shared" si="4"/>
        <v>3.0952319999999998E-2</v>
      </c>
      <c r="M30" s="247"/>
      <c r="N30" s="266">
        <f>(1.68*1.68+4*0.14*0.14*1.4)/3</f>
        <v>0.97738666666666651</v>
      </c>
      <c r="O30" s="266">
        <f>2*(1.4+1.4)*1.4*0.14</f>
        <v>1.0975999999999999</v>
      </c>
      <c r="P30" s="266">
        <v>0.11</v>
      </c>
      <c r="Q30" s="245"/>
      <c r="R30" s="266">
        <f>3*N30*2*0.1+0.14*0.14*1.4*4</f>
        <v>0.69619199999999992</v>
      </c>
      <c r="S30" s="266"/>
      <c r="T30" s="266">
        <f>4*(1.4+1.4)/2*1.4</f>
        <v>7.839999999999999</v>
      </c>
      <c r="U30" s="266"/>
      <c r="V30" s="266"/>
      <c r="W30" s="266">
        <f t="shared" si="10"/>
        <v>27.847679999999997</v>
      </c>
      <c r="X30" s="245"/>
    </row>
    <row r="31" spans="1:26" ht="16.5" thickBot="1">
      <c r="A31" s="245"/>
      <c r="B31" s="245"/>
      <c r="C31" s="262" t="s">
        <v>75</v>
      </c>
      <c r="D31" s="263"/>
      <c r="E31" s="264">
        <f t="shared" si="0"/>
        <v>1.3189478400000001</v>
      </c>
      <c r="F31" s="264">
        <f t="shared" si="1"/>
        <v>0.45250179200000007</v>
      </c>
      <c r="G31" s="264">
        <f t="shared" si="2"/>
        <v>1.7334338080000002</v>
      </c>
      <c r="H31" s="264">
        <f t="shared" si="5"/>
        <v>1.2150148800000002</v>
      </c>
      <c r="I31" s="267"/>
      <c r="J31" s="265">
        <f t="shared" si="3"/>
        <v>1983.5091594133335</v>
      </c>
      <c r="K31" s="267"/>
      <c r="L31" s="264">
        <f t="shared" si="4"/>
        <v>4.3964928000000007E-2</v>
      </c>
      <c r="M31" s="247"/>
      <c r="N31" s="266">
        <f>(1.98*1.98+4*0.14*0.14*1.6)/3</f>
        <v>1.3486133333333334</v>
      </c>
      <c r="O31" s="266">
        <f>2*(1.7+1.78)*1.6*0.14</f>
        <v>1.5590400000000002</v>
      </c>
      <c r="P31" s="266">
        <v>0.16</v>
      </c>
      <c r="Q31" s="245"/>
      <c r="R31" s="266">
        <f>3*N31*2*0.1+0.14*0.14*1.6*4</f>
        <v>0.93460800000000011</v>
      </c>
      <c r="S31" s="266"/>
      <c r="T31" s="266">
        <f>4*(1.7+1.7)/2*1.6</f>
        <v>10.88</v>
      </c>
      <c r="U31" s="266"/>
      <c r="V31" s="266"/>
      <c r="W31" s="266">
        <f t="shared" si="10"/>
        <v>37.384320000000002</v>
      </c>
      <c r="X31" s="245"/>
    </row>
    <row r="32" spans="1:26" ht="16.5" thickBot="1">
      <c r="A32" s="245"/>
      <c r="B32" s="245"/>
      <c r="C32" s="262" t="s">
        <v>427</v>
      </c>
      <c r="D32" s="263"/>
      <c r="E32" s="264">
        <f t="shared" si="0"/>
        <v>0</v>
      </c>
      <c r="F32" s="264">
        <f t="shared" si="1"/>
        <v>0.1320288</v>
      </c>
      <c r="G32" s="264">
        <f t="shared" si="2"/>
        <v>0.40193856</v>
      </c>
      <c r="H32" s="264">
        <f t="shared" si="5"/>
        <v>0.47436960000000006</v>
      </c>
      <c r="I32" s="267"/>
      <c r="J32" s="265">
        <f t="shared" si="3"/>
        <v>423.93761941333332</v>
      </c>
      <c r="K32" s="267"/>
      <c r="L32" s="264">
        <f t="shared" si="4"/>
        <v>0</v>
      </c>
      <c r="M32" s="247"/>
      <c r="N32" s="266">
        <f>N37/2</f>
        <v>0.94933333333333358</v>
      </c>
      <c r="O32" s="266"/>
      <c r="P32" s="266">
        <v>0.06</v>
      </c>
      <c r="Q32" s="245"/>
      <c r="R32" s="266">
        <f>(4*0.8*0.12*(0.7+0.88)/2+(0.8*0.8)*0.1)</f>
        <v>0.36736000000000002</v>
      </c>
      <c r="S32" s="266"/>
      <c r="T32" s="266"/>
      <c r="U32" s="266"/>
      <c r="V32" s="266"/>
      <c r="W32" s="266">
        <f>W27</f>
        <v>8.7198719999999987</v>
      </c>
      <c r="X32" s="245"/>
    </row>
    <row r="33" spans="1:24" ht="16.5" thickBot="1">
      <c r="A33" s="245"/>
      <c r="B33" s="245"/>
      <c r="C33" s="262" t="s">
        <v>428</v>
      </c>
      <c r="D33" s="263"/>
      <c r="E33" s="264">
        <f t="shared" si="0"/>
        <v>0</v>
      </c>
      <c r="F33" s="264">
        <f t="shared" si="1"/>
        <v>0.20444730000000003</v>
      </c>
      <c r="G33" s="264">
        <f t="shared" si="2"/>
        <v>0.60405201000000008</v>
      </c>
      <c r="H33" s="264">
        <f t="shared" si="5"/>
        <v>0.71795910000000007</v>
      </c>
      <c r="I33" s="267"/>
      <c r="J33" s="265">
        <f t="shared" si="3"/>
        <v>651.35712903333342</v>
      </c>
      <c r="K33" s="267"/>
      <c r="L33" s="264">
        <f t="shared" si="4"/>
        <v>0</v>
      </c>
      <c r="M33" s="247"/>
      <c r="N33" s="266">
        <f>N38/2</f>
        <v>1.5166833333333332</v>
      </c>
      <c r="O33" s="266"/>
      <c r="P33" s="266">
        <v>0.06</v>
      </c>
      <c r="Q33" s="245"/>
      <c r="R33" s="266">
        <f>(4*1*0.12*(0.92+1.1)/2+(1.01*1.01)*0.1)</f>
        <v>0.58681000000000005</v>
      </c>
      <c r="S33" s="266"/>
      <c r="T33" s="266"/>
      <c r="U33" s="266"/>
      <c r="V33" s="266"/>
      <c r="W33" s="266">
        <f>W28</f>
        <v>13.223040000000001</v>
      </c>
      <c r="X33" s="245"/>
    </row>
    <row r="34" spans="1:24" ht="16.5" thickBot="1">
      <c r="A34" s="245"/>
      <c r="B34" s="245"/>
      <c r="C34" s="262" t="s">
        <v>429</v>
      </c>
      <c r="D34" s="263"/>
      <c r="E34" s="264">
        <f t="shared" si="0"/>
        <v>0</v>
      </c>
      <c r="F34" s="264">
        <f t="shared" si="1"/>
        <v>0.38327894999999995</v>
      </c>
      <c r="G34" s="264">
        <f t="shared" si="2"/>
        <v>1.1143076149999998</v>
      </c>
      <c r="H34" s="264">
        <f t="shared" si="5"/>
        <v>1.3295746499999999</v>
      </c>
      <c r="I34" s="267"/>
      <c r="J34" s="265">
        <f t="shared" si="3"/>
        <v>1127.7190064166666</v>
      </c>
      <c r="K34" s="267"/>
      <c r="L34" s="264">
        <f t="shared" si="4"/>
        <v>0</v>
      </c>
      <c r="M34" s="247"/>
      <c r="N34" s="266">
        <f>N39/2</f>
        <v>2.4432666666666667</v>
      </c>
      <c r="O34" s="266"/>
      <c r="P34" s="266">
        <v>0.08</v>
      </c>
      <c r="Q34" s="245"/>
      <c r="R34" s="266">
        <f>(4*1.2*0.15*(1.2+1.48)/2+(1.01*1.01)*0.15)</f>
        <v>1.1178149999999998</v>
      </c>
      <c r="S34" s="266"/>
      <c r="T34" s="266"/>
      <c r="U34" s="266"/>
      <c r="V34" s="266"/>
      <c r="W34" s="266">
        <f>W29</f>
        <v>22.03904</v>
      </c>
      <c r="X34" s="245"/>
    </row>
    <row r="35" spans="1:24" ht="16.5" thickBot="1">
      <c r="A35" s="245"/>
      <c r="B35" s="245"/>
      <c r="C35" s="262" t="s">
        <v>430</v>
      </c>
      <c r="D35" s="263"/>
      <c r="E35" s="264">
        <f t="shared" si="0"/>
        <v>0</v>
      </c>
      <c r="F35" s="264">
        <f t="shared" si="1"/>
        <v>0.56408220000000009</v>
      </c>
      <c r="G35" s="264">
        <f t="shared" si="2"/>
        <v>1.6356421400000001</v>
      </c>
      <c r="H35" s="264">
        <f t="shared" si="5"/>
        <v>1.9528674000000004</v>
      </c>
      <c r="I35" s="267"/>
      <c r="J35" s="265">
        <f t="shared" si="3"/>
        <v>1540.4644059333332</v>
      </c>
      <c r="K35" s="267"/>
      <c r="L35" s="264">
        <f t="shared" si="4"/>
        <v>0</v>
      </c>
      <c r="M35" s="247"/>
      <c r="N35" s="266">
        <f>N40/2</f>
        <v>3.2699333333333329</v>
      </c>
      <c r="O35" s="266"/>
      <c r="P35" s="266">
        <v>0.11</v>
      </c>
      <c r="Q35" s="245"/>
      <c r="R35" s="266">
        <f>(4*1.4*0.15*(1.4+1.68)/2+(1.54*1.54)*0.15)</f>
        <v>1.64934</v>
      </c>
      <c r="S35" s="266"/>
      <c r="T35" s="266"/>
      <c r="U35" s="266"/>
      <c r="V35" s="266"/>
      <c r="W35" s="266">
        <f>W30</f>
        <v>27.847679999999997</v>
      </c>
      <c r="X35" s="245"/>
    </row>
    <row r="36" spans="1:24" ht="16.5" thickBot="1">
      <c r="A36" s="245"/>
      <c r="B36" s="245"/>
      <c r="C36" s="262" t="s">
        <v>431</v>
      </c>
      <c r="D36" s="263"/>
      <c r="E36" s="264">
        <f t="shared" si="0"/>
        <v>0</v>
      </c>
      <c r="F36" s="264">
        <f t="shared" si="1"/>
        <v>0.77929919999999997</v>
      </c>
      <c r="G36" s="264">
        <f t="shared" si="2"/>
        <v>2.26417504</v>
      </c>
      <c r="H36" s="264">
        <f t="shared" si="5"/>
        <v>2.7020064000000001</v>
      </c>
      <c r="I36" s="267"/>
      <c r="J36" s="265">
        <f t="shared" si="3"/>
        <v>2105.5847392000001</v>
      </c>
      <c r="K36" s="267"/>
      <c r="L36" s="264">
        <f t="shared" si="4"/>
        <v>0</v>
      </c>
      <c r="M36" s="247"/>
      <c r="N36" s="266">
        <f>N41/2</f>
        <v>4.4896000000000003</v>
      </c>
      <c r="O36" s="266"/>
      <c r="P36" s="266">
        <v>0.16</v>
      </c>
      <c r="Q36" s="245"/>
      <c r="R36" s="266">
        <f>(4*1.6*0.15*(1.7+1.98)/2+(1.84*1.84)*0.15)</f>
        <v>2.2742399999999998</v>
      </c>
      <c r="S36" s="266"/>
      <c r="T36" s="266"/>
      <c r="U36" s="266"/>
      <c r="V36" s="266"/>
      <c r="W36" s="266">
        <f>W31</f>
        <v>37.384320000000002</v>
      </c>
      <c r="X36" s="245"/>
    </row>
    <row r="37" spans="1:24" ht="16.5" thickBot="1">
      <c r="A37" s="245"/>
      <c r="B37" s="245"/>
      <c r="C37" s="262" t="s">
        <v>432</v>
      </c>
      <c r="D37" s="263"/>
      <c r="E37" s="264">
        <f t="shared" si="0"/>
        <v>0</v>
      </c>
      <c r="F37" s="264">
        <f t="shared" si="1"/>
        <v>0.13625280000000003</v>
      </c>
      <c r="G37" s="264">
        <f t="shared" si="2"/>
        <v>0.41372736000000004</v>
      </c>
      <c r="H37" s="264">
        <f t="shared" si="5"/>
        <v>0.48857760000000011</v>
      </c>
      <c r="I37" s="267"/>
      <c r="J37" s="265">
        <f t="shared" si="3"/>
        <v>898.02175626666678</v>
      </c>
      <c r="K37" s="267"/>
      <c r="L37" s="264">
        <f t="shared" si="4"/>
        <v>0</v>
      </c>
      <c r="M37" s="247"/>
      <c r="N37" s="266">
        <f>(4*0.8*(0.7+0.88)+(0.8*0.8))/3</f>
        <v>1.8986666666666672</v>
      </c>
      <c r="O37" s="266"/>
      <c r="P37" s="266">
        <v>0.06</v>
      </c>
      <c r="Q37" s="245"/>
      <c r="R37" s="266">
        <f>(4*0.8*0.12*(0.7+0.88)/2+(0.8*0.8)*0.12)</f>
        <v>0.38016000000000005</v>
      </c>
      <c r="S37" s="266"/>
      <c r="T37" s="266"/>
      <c r="U37" s="266"/>
      <c r="V37" s="266"/>
      <c r="W37" s="266">
        <f>ROUND(R37*75,2)</f>
        <v>28.51</v>
      </c>
      <c r="X37" s="245"/>
    </row>
    <row r="38" spans="1:24" ht="16.5" thickBot="1">
      <c r="A38" s="245"/>
      <c r="B38" s="245"/>
      <c r="C38" s="262" t="s">
        <v>433</v>
      </c>
      <c r="D38" s="263"/>
      <c r="E38" s="264">
        <f t="shared" si="0"/>
        <v>0</v>
      </c>
      <c r="F38" s="264">
        <f t="shared" si="1"/>
        <v>0.21117996</v>
      </c>
      <c r="G38" s="264">
        <f t="shared" si="2"/>
        <v>0.62284225199999999</v>
      </c>
      <c r="H38" s="264">
        <f t="shared" si="5"/>
        <v>0.74060532000000001</v>
      </c>
      <c r="I38" s="267"/>
      <c r="J38" s="265">
        <f t="shared" si="3"/>
        <v>1422.2802483866667</v>
      </c>
      <c r="K38" s="267"/>
      <c r="L38" s="264">
        <f t="shared" si="4"/>
        <v>0</v>
      </c>
      <c r="M38" s="247"/>
      <c r="N38" s="266">
        <f>(4*1*(0.92+1.1)+(1.01*1.01))/3</f>
        <v>3.0333666666666663</v>
      </c>
      <c r="O38" s="266"/>
      <c r="P38" s="266">
        <v>0.06</v>
      </c>
      <c r="Q38" s="245"/>
      <c r="R38" s="266">
        <f>(4*1*0.12*(0.92+1.1)/2+(1.01*1.01)*0.12)</f>
        <v>0.60721199999999997</v>
      </c>
      <c r="S38" s="266"/>
      <c r="T38" s="266"/>
      <c r="U38" s="266"/>
      <c r="V38" s="266"/>
      <c r="W38" s="266">
        <f t="shared" ref="W38" si="11">ROUND(R38*75,2)</f>
        <v>45.54</v>
      </c>
      <c r="X38" s="245"/>
    </row>
    <row r="39" spans="1:24" ht="16.5" thickBot="1">
      <c r="A39" s="245"/>
      <c r="B39" s="245"/>
      <c r="C39" s="262" t="s">
        <v>434</v>
      </c>
      <c r="D39" s="263"/>
      <c r="E39" s="264">
        <f t="shared" si="0"/>
        <v>0</v>
      </c>
      <c r="F39" s="264">
        <f t="shared" si="1"/>
        <v>0.38327894999999995</v>
      </c>
      <c r="G39" s="264">
        <f t="shared" si="2"/>
        <v>1.1143076149999998</v>
      </c>
      <c r="H39" s="264">
        <f t="shared" si="5"/>
        <v>1.3295746499999999</v>
      </c>
      <c r="I39" s="267"/>
      <c r="J39" s="265">
        <f t="shared" si="3"/>
        <v>2436.5898554833334</v>
      </c>
      <c r="K39" s="267"/>
      <c r="L39" s="264">
        <f t="shared" si="4"/>
        <v>0</v>
      </c>
      <c r="M39" s="247"/>
      <c r="N39" s="266">
        <f>(4*1.2*(1.2+1.48)+(1.34*1.34))/3</f>
        <v>4.8865333333333334</v>
      </c>
      <c r="O39" s="266"/>
      <c r="P39" s="266">
        <v>0.08</v>
      </c>
      <c r="Q39" s="245"/>
      <c r="R39" s="266">
        <f>(4*1.2*0.15*(1.2+1.48)/2+(1.01*1.01)*0.15)</f>
        <v>1.1178149999999998</v>
      </c>
      <c r="S39" s="266"/>
      <c r="T39" s="266"/>
      <c r="U39" s="266"/>
      <c r="V39" s="266"/>
      <c r="W39" s="266">
        <f>ROUND(R39*70,2)</f>
        <v>78.25</v>
      </c>
      <c r="X39" s="245"/>
    </row>
    <row r="40" spans="1:24" ht="16.5" thickBot="1">
      <c r="A40" s="245"/>
      <c r="B40" s="245"/>
      <c r="C40" s="262" t="s">
        <v>435</v>
      </c>
      <c r="D40" s="263"/>
      <c r="E40" s="264">
        <f t="shared" si="0"/>
        <v>0</v>
      </c>
      <c r="F40" s="264">
        <f t="shared" si="1"/>
        <v>0.56408220000000009</v>
      </c>
      <c r="G40" s="264">
        <f t="shared" si="2"/>
        <v>1.6356421400000001</v>
      </c>
      <c r="H40" s="264">
        <f t="shared" si="5"/>
        <v>1.9528674000000004</v>
      </c>
      <c r="I40" s="267"/>
      <c r="J40" s="265">
        <f t="shared" si="3"/>
        <v>3531.4724240666665</v>
      </c>
      <c r="K40" s="267"/>
      <c r="L40" s="264">
        <f t="shared" si="4"/>
        <v>0</v>
      </c>
      <c r="M40" s="247"/>
      <c r="N40" s="266">
        <f>(4*1.4*(1.4+1.68)+(1.54*1.54))/3</f>
        <v>6.5398666666666658</v>
      </c>
      <c r="O40" s="266"/>
      <c r="P40" s="266">
        <v>0.11</v>
      </c>
      <c r="Q40" s="245"/>
      <c r="R40" s="266">
        <f>(4*1.4*0.15*(1.4+1.68)/2+(1.54*1.54)*0.15)</f>
        <v>1.64934</v>
      </c>
      <c r="S40" s="266"/>
      <c r="T40" s="266"/>
      <c r="U40" s="266"/>
      <c r="V40" s="266"/>
      <c r="W40" s="266">
        <f t="shared" ref="W40:W43" si="12">ROUND(R40*70,2)</f>
        <v>115.45</v>
      </c>
      <c r="X40" s="245"/>
    </row>
    <row r="41" spans="1:24" ht="16.5" thickBot="1">
      <c r="A41" s="245"/>
      <c r="B41" s="245"/>
      <c r="C41" s="262" t="s">
        <v>436</v>
      </c>
      <c r="D41" s="263"/>
      <c r="E41" s="264">
        <f t="shared" si="0"/>
        <v>0</v>
      </c>
      <c r="F41" s="264">
        <f t="shared" si="1"/>
        <v>0.77929919999999997</v>
      </c>
      <c r="G41" s="264">
        <f t="shared" si="2"/>
        <v>2.26417504</v>
      </c>
      <c r="H41" s="264">
        <f t="shared" si="5"/>
        <v>2.7020064000000001</v>
      </c>
      <c r="I41" s="267"/>
      <c r="J41" s="265">
        <f t="shared" si="3"/>
        <v>4868.9760864</v>
      </c>
      <c r="K41" s="267"/>
      <c r="L41" s="264">
        <f t="shared" si="4"/>
        <v>0</v>
      </c>
      <c r="M41" s="247"/>
      <c r="N41" s="266">
        <f>(4*1.6*(1.7+1.98)+(1.84*1.84))/3</f>
        <v>8.9792000000000005</v>
      </c>
      <c r="O41" s="266"/>
      <c r="P41" s="266">
        <v>0.16</v>
      </c>
      <c r="Q41" s="245"/>
      <c r="R41" s="266">
        <f>(4*1.6*0.15*(1.7+1.98)/2+(1.84*1.84)*0.15)</f>
        <v>2.2742399999999998</v>
      </c>
      <c r="S41" s="266"/>
      <c r="T41" s="266"/>
      <c r="U41" s="266"/>
      <c r="V41" s="266"/>
      <c r="W41" s="266">
        <f t="shared" si="12"/>
        <v>159.19999999999999</v>
      </c>
      <c r="X41" s="245"/>
    </row>
    <row r="42" spans="1:24" ht="16.5" thickBot="1">
      <c r="A42" s="245"/>
      <c r="B42" s="245"/>
      <c r="C42" s="262" t="s">
        <v>437</v>
      </c>
      <c r="D42" s="263"/>
      <c r="E42" s="264">
        <f t="shared" si="0"/>
        <v>0</v>
      </c>
      <c r="F42" s="264">
        <f t="shared" si="1"/>
        <v>1.2096229499999998</v>
      </c>
      <c r="G42" s="264">
        <f t="shared" si="2"/>
        <v>3.5097804149999998</v>
      </c>
      <c r="H42" s="264">
        <f t="shared" si="5"/>
        <v>4.18982265</v>
      </c>
      <c r="I42" s="267"/>
      <c r="J42" s="265">
        <f t="shared" si="3"/>
        <v>7247.9917271499999</v>
      </c>
      <c r="K42" s="267"/>
      <c r="L42" s="264">
        <f t="shared" si="4"/>
        <v>0</v>
      </c>
      <c r="M42" s="247"/>
      <c r="N42" s="266">
        <f>(4*2*(2.1+2.48)+(2.29*2.29))/4</f>
        <v>10.471025000000001</v>
      </c>
      <c r="O42" s="266"/>
      <c r="P42" s="266">
        <v>0.24</v>
      </c>
      <c r="Q42" s="245"/>
      <c r="R42" s="266">
        <f>(4*2*0.15*(2.1+2.48)/2+(2.29*2.29)*0.15)</f>
        <v>3.5346149999999996</v>
      </c>
      <c r="S42" s="266"/>
      <c r="T42" s="266"/>
      <c r="U42" s="266"/>
      <c r="V42" s="266"/>
      <c r="W42" s="266">
        <f t="shared" si="12"/>
        <v>247.42</v>
      </c>
      <c r="X42" s="245"/>
    </row>
    <row r="43" spans="1:24" ht="16.5" thickBot="1">
      <c r="A43" s="245"/>
      <c r="B43" s="245"/>
      <c r="C43" s="262" t="s">
        <v>438</v>
      </c>
      <c r="D43" s="263"/>
      <c r="E43" s="264">
        <f t="shared" si="0"/>
        <v>0</v>
      </c>
      <c r="F43" s="264">
        <f t="shared" si="1"/>
        <v>1.9087789500000001</v>
      </c>
      <c r="G43" s="264">
        <f t="shared" si="2"/>
        <v>5.5279776150000002</v>
      </c>
      <c r="H43" s="264">
        <f t="shared" si="5"/>
        <v>6.6020746500000005</v>
      </c>
      <c r="I43" s="267"/>
      <c r="J43" s="265">
        <f t="shared" si="3"/>
        <v>11450.372339149999</v>
      </c>
      <c r="K43" s="267"/>
      <c r="L43" s="264">
        <f t="shared" si="4"/>
        <v>0</v>
      </c>
      <c r="M43" s="247"/>
      <c r="N43" s="266">
        <f>(4*2.5*(2.7+3.08)+(2.89*2.89))/4</f>
        <v>16.538025000000001</v>
      </c>
      <c r="O43" s="266"/>
      <c r="P43" s="266">
        <v>0.36</v>
      </c>
      <c r="Q43" s="245"/>
      <c r="R43" s="266">
        <f>(4*2.5*0.15*(2.7+3.08)/2+(2.89*2.89)*0.15)</f>
        <v>5.587815</v>
      </c>
      <c r="S43" s="266"/>
      <c r="T43" s="266"/>
      <c r="U43" s="266"/>
      <c r="V43" s="266"/>
      <c r="W43" s="266">
        <f t="shared" si="12"/>
        <v>391.15</v>
      </c>
      <c r="X43" s="245"/>
    </row>
    <row r="44" spans="1:24" ht="16.5" thickBot="1">
      <c r="A44" s="245"/>
      <c r="B44" s="245"/>
      <c r="C44" s="262" t="s">
        <v>145</v>
      </c>
      <c r="D44" s="263"/>
      <c r="E44" s="264">
        <f t="shared" si="0"/>
        <v>0.54144000000000003</v>
      </c>
      <c r="F44" s="264">
        <f t="shared" si="1"/>
        <v>0.35276220000000008</v>
      </c>
      <c r="G44" s="264">
        <f t="shared" si="2"/>
        <v>1.1888125000000003</v>
      </c>
      <c r="H44" s="264">
        <f t="shared" si="5"/>
        <v>1.1100000000000001</v>
      </c>
      <c r="I44" s="267">
        <v>1</v>
      </c>
      <c r="J44" s="265">
        <f t="shared" si="3"/>
        <v>2080.0031349999999</v>
      </c>
      <c r="K44" s="267">
        <v>1</v>
      </c>
      <c r="L44" s="264">
        <f t="shared" si="4"/>
        <v>1.8048000000000002E-2</v>
      </c>
      <c r="M44" s="247"/>
      <c r="N44" s="266">
        <f>ROUND((4.9+2*0.5)/5,2)</f>
        <v>1.18</v>
      </c>
      <c r="O44" s="266">
        <f>ROUND((1.285*0.5),2)</f>
        <v>0.64</v>
      </c>
      <c r="P44" s="266">
        <v>0.1</v>
      </c>
      <c r="Q44" s="245"/>
      <c r="R44" s="266">
        <f>ROUND((0.8 +0.205 *0.5),2)</f>
        <v>0.9</v>
      </c>
      <c r="S44" s="266"/>
      <c r="T44" s="266">
        <f>ROUND((0.12 *0.5),2)</f>
        <v>0.06</v>
      </c>
      <c r="U44" s="266"/>
      <c r="V44" s="266"/>
      <c r="W44" s="266">
        <f>ROUND((21.07 +8.54 *0.5),2)</f>
        <v>25.34</v>
      </c>
      <c r="X44" s="245"/>
    </row>
    <row r="45" spans="1:24" ht="16.5" thickBot="1">
      <c r="A45" s="245"/>
      <c r="B45" s="245"/>
      <c r="C45" s="262" t="s">
        <v>146</v>
      </c>
      <c r="D45" s="263"/>
      <c r="E45" s="264">
        <f t="shared" si="0"/>
        <v>0.76139999999999997</v>
      </c>
      <c r="F45" s="264">
        <f t="shared" si="1"/>
        <v>0.38489359999999995</v>
      </c>
      <c r="G45" s="264">
        <f t="shared" si="2"/>
        <v>1.3499699999999999</v>
      </c>
      <c r="H45" s="264">
        <f t="shared" si="5"/>
        <v>1.1766000000000001</v>
      </c>
      <c r="I45" s="267">
        <v>1</v>
      </c>
      <c r="J45" s="265">
        <f t="shared" si="3"/>
        <v>2257.2565800000002</v>
      </c>
      <c r="K45" s="267">
        <v>1</v>
      </c>
      <c r="L45" s="264">
        <f t="shared" si="4"/>
        <v>2.538E-2</v>
      </c>
      <c r="M45" s="247"/>
      <c r="N45" s="266">
        <f>ROUND((4.9+2*0.7)/5,2)</f>
        <v>1.26</v>
      </c>
      <c r="O45" s="266">
        <f>ROUND((1.285*0.7),2)</f>
        <v>0.9</v>
      </c>
      <c r="P45" s="266">
        <v>0.12</v>
      </c>
      <c r="Q45" s="245"/>
      <c r="R45" s="266">
        <f>ROUND((0.8 +0.205 *0.7),2)</f>
        <v>0.94</v>
      </c>
      <c r="S45" s="266"/>
      <c r="T45" s="266">
        <f>ROUND((0.12 *0.7),2)</f>
        <v>0.08</v>
      </c>
      <c r="U45" s="266"/>
      <c r="V45" s="266"/>
      <c r="W45" s="266">
        <f>ROUND((21.07 +8.54 *0.7),2)</f>
        <v>27.05</v>
      </c>
      <c r="X45" s="245"/>
    </row>
    <row r="46" spans="1:24" ht="16.5" thickBot="1">
      <c r="A46" s="245"/>
      <c r="B46" s="245"/>
      <c r="C46" s="262" t="s">
        <v>147</v>
      </c>
      <c r="D46" s="263"/>
      <c r="E46" s="264">
        <f t="shared" si="0"/>
        <v>1.09134</v>
      </c>
      <c r="F46" s="264">
        <f t="shared" si="1"/>
        <v>0.43281240000000004</v>
      </c>
      <c r="G46" s="264">
        <f t="shared" si="2"/>
        <v>1.5797950000000001</v>
      </c>
      <c r="H46" s="264">
        <f t="shared" si="5"/>
        <v>1.2654000000000003</v>
      </c>
      <c r="I46" s="267">
        <v>1</v>
      </c>
      <c r="J46" s="265">
        <f t="shared" si="3"/>
        <v>2520.3011699999997</v>
      </c>
      <c r="K46" s="267">
        <v>1</v>
      </c>
      <c r="L46" s="264">
        <f t="shared" si="4"/>
        <v>3.6378000000000001E-2</v>
      </c>
      <c r="M46" s="247"/>
      <c r="N46" s="266">
        <f>ROUND((4.9+2*1)/5,2)</f>
        <v>1.38</v>
      </c>
      <c r="O46" s="266">
        <f>ROUND((1.285*1),2)</f>
        <v>1.29</v>
      </c>
      <c r="P46" s="266">
        <v>0.13</v>
      </c>
      <c r="Q46" s="245">
        <f>(Q45+Q47)/2</f>
        <v>0</v>
      </c>
      <c r="R46" s="266">
        <f>ROUND((0.8 +0.205 *1),2)</f>
        <v>1.01</v>
      </c>
      <c r="S46" s="266"/>
      <c r="T46" s="266">
        <f>ROUND((0.12 *1),2)</f>
        <v>0.12</v>
      </c>
      <c r="U46" s="266"/>
      <c r="V46" s="266"/>
      <c r="W46" s="266">
        <f>ROUND((21.07 +8.54 *1),2)</f>
        <v>29.61</v>
      </c>
      <c r="X46" s="245"/>
    </row>
    <row r="47" spans="1:24" ht="16.5" thickBot="1">
      <c r="A47" s="245"/>
      <c r="B47" s="245"/>
      <c r="C47" s="262" t="s">
        <v>148</v>
      </c>
      <c r="D47" s="263"/>
      <c r="E47" s="264">
        <f t="shared" si="0"/>
        <v>1.30284</v>
      </c>
      <c r="F47" s="264">
        <f t="shared" si="1"/>
        <v>0.46255580000000002</v>
      </c>
      <c r="G47" s="264">
        <f t="shared" si="2"/>
        <v>1.7263925000000002</v>
      </c>
      <c r="H47" s="264">
        <f t="shared" si="5"/>
        <v>1.3209000000000002</v>
      </c>
      <c r="I47" s="267">
        <v>1</v>
      </c>
      <c r="J47" s="265">
        <f t="shared" si="3"/>
        <v>2689.7708149999999</v>
      </c>
      <c r="K47" s="267">
        <v>1</v>
      </c>
      <c r="L47" s="264">
        <f t="shared" si="4"/>
        <v>4.3428000000000001E-2</v>
      </c>
      <c r="M47" s="247"/>
      <c r="N47" s="266">
        <f>ROUND((4.9+2*1.2)/5,2)</f>
        <v>1.46</v>
      </c>
      <c r="O47" s="266">
        <f>ROUND((1.285*1.2),2)</f>
        <v>1.54</v>
      </c>
      <c r="P47" s="266">
        <v>0.14000000000000001</v>
      </c>
      <c r="Q47" s="245"/>
      <c r="R47" s="266">
        <f>ROUND((0.8 +0.205 *1.2),2)</f>
        <v>1.05</v>
      </c>
      <c r="S47" s="266"/>
      <c r="T47" s="266">
        <f>ROUND((0.12 *1.2),2)</f>
        <v>0.14000000000000001</v>
      </c>
      <c r="U47" s="266"/>
      <c r="V47" s="266"/>
      <c r="W47" s="266">
        <f>ROUND((21.07 +8.54 *1.2),2)</f>
        <v>31.32</v>
      </c>
      <c r="X47" s="245"/>
    </row>
    <row r="48" spans="1:24" ht="16.5" thickBot="1">
      <c r="A48" s="245"/>
      <c r="B48" s="245"/>
      <c r="C48" s="262" t="s">
        <v>149</v>
      </c>
      <c r="D48" s="263"/>
      <c r="E48" s="264">
        <f t="shared" si="0"/>
        <v>1.6327799999999999</v>
      </c>
      <c r="F48" s="264">
        <f t="shared" si="1"/>
        <v>0.50537460000000012</v>
      </c>
      <c r="G48" s="264">
        <f t="shared" si="2"/>
        <v>1.9364075000000001</v>
      </c>
      <c r="H48" s="264">
        <f t="shared" si="5"/>
        <v>1.3875000000000002</v>
      </c>
      <c r="I48" s="267">
        <v>1</v>
      </c>
      <c r="J48" s="265">
        <f t="shared" si="3"/>
        <v>2945.3635049999993</v>
      </c>
      <c r="K48" s="267">
        <v>1</v>
      </c>
      <c r="L48" s="264">
        <f t="shared" si="4"/>
        <v>5.4425999999999995E-2</v>
      </c>
      <c r="M48" s="247"/>
      <c r="N48" s="266">
        <f>ROUND((4.9+2*1.5)/5,2)</f>
        <v>1.58</v>
      </c>
      <c r="O48" s="266">
        <f>ROUND((1.285*1.5),2)</f>
        <v>1.93</v>
      </c>
      <c r="P48" s="266">
        <v>0.14000000000000001</v>
      </c>
      <c r="Q48" s="245"/>
      <c r="R48" s="266">
        <f>ROUND((0.8 +0.205 *1.5),2)</f>
        <v>1.1100000000000001</v>
      </c>
      <c r="S48" s="266"/>
      <c r="T48" s="266">
        <f>ROUND((0.12 *1.5),2)</f>
        <v>0.18</v>
      </c>
      <c r="U48" s="266"/>
      <c r="V48" s="266"/>
      <c r="W48" s="266">
        <f>ROUND((21.07 +8.54 *1.5),2)</f>
        <v>33.880000000000003</v>
      </c>
      <c r="X48" s="245"/>
    </row>
    <row r="49" spans="1:24" ht="16.5" thickBot="1">
      <c r="A49" s="245"/>
      <c r="B49" s="245"/>
      <c r="C49" s="262" t="s">
        <v>150</v>
      </c>
      <c r="D49" s="263"/>
      <c r="E49" s="264">
        <f t="shared" si="0"/>
        <v>0</v>
      </c>
      <c r="F49" s="264">
        <f t="shared" si="1"/>
        <v>0.38250000000000006</v>
      </c>
      <c r="G49" s="264">
        <f t="shared" si="2"/>
        <v>1.1483800000000002</v>
      </c>
      <c r="H49" s="264">
        <f t="shared" si="5"/>
        <v>1.35975</v>
      </c>
      <c r="I49" s="267">
        <v>1</v>
      </c>
      <c r="J49" s="265">
        <f t="shared" si="3"/>
        <v>1388.1369</v>
      </c>
      <c r="K49" s="267">
        <v>1</v>
      </c>
      <c r="L49" s="264">
        <f t="shared" si="4"/>
        <v>0</v>
      </c>
      <c r="M49" s="247"/>
      <c r="N49" s="266">
        <f>N54/2</f>
        <v>1.075</v>
      </c>
      <c r="O49" s="266"/>
      <c r="P49" s="266">
        <f>P54</f>
        <v>0.14499999999999999</v>
      </c>
      <c r="Q49" s="245"/>
      <c r="R49" s="266">
        <f>R54</f>
        <v>1.08</v>
      </c>
      <c r="S49" s="266"/>
      <c r="T49" s="266"/>
      <c r="U49" s="266"/>
      <c r="V49" s="266"/>
      <c r="W49" s="266"/>
      <c r="X49" s="245"/>
    </row>
    <row r="50" spans="1:24" ht="16.5" thickBot="1">
      <c r="A50" s="245"/>
      <c r="B50" s="245"/>
      <c r="C50" s="262" t="s">
        <v>151</v>
      </c>
      <c r="D50" s="263"/>
      <c r="E50" s="264">
        <f t="shared" si="0"/>
        <v>0</v>
      </c>
      <c r="F50" s="264">
        <f t="shared" si="1"/>
        <v>0.43200000000000005</v>
      </c>
      <c r="G50" s="264">
        <f t="shared" si="2"/>
        <v>1.28653</v>
      </c>
      <c r="H50" s="264">
        <f t="shared" si="5"/>
        <v>1.5262500000000001</v>
      </c>
      <c r="I50" s="267">
        <v>1</v>
      </c>
      <c r="J50" s="265">
        <f t="shared" si="3"/>
        <v>1471.5483999999999</v>
      </c>
      <c r="K50" s="267">
        <v>1</v>
      </c>
      <c r="L50" s="264">
        <f t="shared" si="4"/>
        <v>0</v>
      </c>
      <c r="M50" s="247"/>
      <c r="N50" s="266">
        <f>N55/2</f>
        <v>1.325</v>
      </c>
      <c r="O50" s="266"/>
      <c r="P50" s="266">
        <f>P55</f>
        <v>0.14499999999999999</v>
      </c>
      <c r="Q50" s="245"/>
      <c r="R50" s="266">
        <f>R55</f>
        <v>1.23</v>
      </c>
      <c r="S50" s="266"/>
      <c r="T50" s="266"/>
      <c r="U50" s="266"/>
      <c r="V50" s="266"/>
      <c r="W50" s="266"/>
      <c r="X50" s="245"/>
    </row>
    <row r="51" spans="1:24" ht="16.5" thickBot="1">
      <c r="A51" s="245"/>
      <c r="B51" s="245"/>
      <c r="C51" s="262" t="s">
        <v>152</v>
      </c>
      <c r="D51" s="263"/>
      <c r="E51" s="264">
        <f t="shared" si="0"/>
        <v>0</v>
      </c>
      <c r="F51" s="264">
        <f t="shared" si="1"/>
        <v>0.50459999999999994</v>
      </c>
      <c r="G51" s="264">
        <f t="shared" si="2"/>
        <v>1.48915</v>
      </c>
      <c r="H51" s="264">
        <f t="shared" si="5"/>
        <v>1.7704500000000001</v>
      </c>
      <c r="I51" s="267">
        <v>1</v>
      </c>
      <c r="J51" s="265">
        <f t="shared" si="3"/>
        <v>1594.6416000000002</v>
      </c>
      <c r="K51" s="267">
        <v>1</v>
      </c>
      <c r="L51" s="264">
        <f t="shared" si="4"/>
        <v>0</v>
      </c>
      <c r="M51" s="247"/>
      <c r="N51" s="266">
        <f>N56/2</f>
        <v>1.7</v>
      </c>
      <c r="O51" s="266">
        <f>(O50+O52)/2</f>
        <v>0</v>
      </c>
      <c r="P51" s="266">
        <f>P56</f>
        <v>0.14499999999999999</v>
      </c>
      <c r="Q51" s="245">
        <f>(Q50+Q52)/2</f>
        <v>0</v>
      </c>
      <c r="R51" s="266">
        <f>R56</f>
        <v>1.45</v>
      </c>
      <c r="S51" s="266"/>
      <c r="T51" s="266">
        <f>(T50+T52)/2</f>
        <v>0</v>
      </c>
      <c r="U51" s="266"/>
      <c r="V51" s="266"/>
      <c r="W51" s="266"/>
      <c r="X51" s="245"/>
    </row>
    <row r="52" spans="1:24" ht="16.5" thickBot="1">
      <c r="A52" s="245"/>
      <c r="B52" s="245"/>
      <c r="C52" s="262" t="s">
        <v>153</v>
      </c>
      <c r="D52" s="263"/>
      <c r="E52" s="264">
        <f t="shared" si="0"/>
        <v>0</v>
      </c>
      <c r="F52" s="264">
        <f t="shared" si="1"/>
        <v>0.6411</v>
      </c>
      <c r="G52" s="264">
        <f t="shared" si="2"/>
        <v>1.8840500000000002</v>
      </c>
      <c r="H52" s="264">
        <f t="shared" si="5"/>
        <v>2.2422</v>
      </c>
      <c r="I52" s="267">
        <v>1</v>
      </c>
      <c r="J52" s="265">
        <f t="shared" si="3"/>
        <v>1783.2270999999998</v>
      </c>
      <c r="K52" s="267">
        <v>1</v>
      </c>
      <c r="L52" s="264">
        <f t="shared" si="4"/>
        <v>0</v>
      </c>
      <c r="M52" s="247"/>
      <c r="N52" s="266">
        <f>N57/2</f>
        <v>1.9</v>
      </c>
      <c r="O52" s="266"/>
      <c r="P52" s="266">
        <f>P57</f>
        <v>0.17</v>
      </c>
      <c r="Q52" s="245"/>
      <c r="R52" s="266">
        <f>R57</f>
        <v>1.85</v>
      </c>
      <c r="S52" s="266"/>
      <c r="T52" s="266"/>
      <c r="U52" s="266"/>
      <c r="V52" s="266"/>
      <c r="W52" s="266"/>
      <c r="X52" s="245"/>
    </row>
    <row r="53" spans="1:24" ht="16.5" thickBot="1">
      <c r="A53" s="245"/>
      <c r="B53" s="245"/>
      <c r="C53" s="262" t="s">
        <v>154</v>
      </c>
      <c r="D53" s="263"/>
      <c r="E53" s="264">
        <f t="shared" si="0"/>
        <v>0</v>
      </c>
      <c r="F53" s="264">
        <f t="shared" si="1"/>
        <v>0.80657999999999996</v>
      </c>
      <c r="G53" s="264">
        <f t="shared" si="2"/>
        <v>2.3575999999999997</v>
      </c>
      <c r="H53" s="264">
        <f t="shared" si="5"/>
        <v>2.8094099999999997</v>
      </c>
      <c r="I53" s="267">
        <v>1</v>
      </c>
      <c r="J53" s="265">
        <f t="shared" si="3"/>
        <v>2005.9763799999998</v>
      </c>
      <c r="K53" s="267">
        <v>1</v>
      </c>
      <c r="L53" s="264">
        <f t="shared" si="4"/>
        <v>0</v>
      </c>
      <c r="M53" s="247"/>
      <c r="N53" s="266">
        <f>N58/2</f>
        <v>2.09</v>
      </c>
      <c r="O53" s="266"/>
      <c r="P53" s="266">
        <f>P58</f>
        <v>0.191</v>
      </c>
      <c r="Q53" s="245"/>
      <c r="R53" s="266">
        <f>R58</f>
        <v>2.34</v>
      </c>
      <c r="S53" s="266"/>
      <c r="T53" s="266"/>
      <c r="U53" s="266"/>
      <c r="V53" s="266"/>
      <c r="W53" s="266"/>
      <c r="X53" s="245"/>
    </row>
    <row r="54" spans="1:24" ht="16.5" thickBot="1">
      <c r="A54" s="245"/>
      <c r="B54" s="245"/>
      <c r="C54" s="262" t="s">
        <v>155</v>
      </c>
      <c r="D54" s="263"/>
      <c r="E54" s="264">
        <f t="shared" si="0"/>
        <v>0</v>
      </c>
      <c r="F54" s="264">
        <f t="shared" si="1"/>
        <v>0.38250000000000006</v>
      </c>
      <c r="G54" s="264">
        <f t="shared" si="2"/>
        <v>1.1483800000000002</v>
      </c>
      <c r="H54" s="264">
        <f t="shared" si="5"/>
        <v>1.35975</v>
      </c>
      <c r="I54" s="267">
        <v>1</v>
      </c>
      <c r="J54" s="265">
        <f t="shared" si="3"/>
        <v>3101.3288199999997</v>
      </c>
      <c r="K54" s="267">
        <v>1</v>
      </c>
      <c r="L54" s="264">
        <f t="shared" si="4"/>
        <v>0</v>
      </c>
      <c r="M54" s="247"/>
      <c r="N54" s="266">
        <f>ROUND((3.59+10*0.5)/4,2)</f>
        <v>2.15</v>
      </c>
      <c r="O54" s="266"/>
      <c r="P54" s="266">
        <v>0.14499999999999999</v>
      </c>
      <c r="Q54" s="245"/>
      <c r="R54" s="266">
        <f>ROUND((0.704 +0.75 *0.5),2)</f>
        <v>1.08</v>
      </c>
      <c r="S54" s="266"/>
      <c r="T54" s="266"/>
      <c r="U54" s="266"/>
      <c r="V54" s="266"/>
      <c r="W54" s="266">
        <f t="shared" ref="W54:W60" si="13">R54*77.35</f>
        <v>83.537999999999997</v>
      </c>
      <c r="X54" s="245"/>
    </row>
    <row r="55" spans="1:24" ht="16.5" thickBot="1">
      <c r="A55" s="245"/>
      <c r="B55" s="245"/>
      <c r="C55" s="262" t="s">
        <v>156</v>
      </c>
      <c r="D55" s="263"/>
      <c r="E55" s="264">
        <f t="shared" si="0"/>
        <v>0</v>
      </c>
      <c r="F55" s="264">
        <f t="shared" si="1"/>
        <v>0.43200000000000005</v>
      </c>
      <c r="G55" s="264">
        <f t="shared" si="2"/>
        <v>1.28653</v>
      </c>
      <c r="H55" s="264">
        <f t="shared" si="5"/>
        <v>1.5262500000000001</v>
      </c>
      <c r="I55" s="267">
        <v>1</v>
      </c>
      <c r="J55" s="265">
        <f t="shared" si="3"/>
        <v>3431.8226699999996</v>
      </c>
      <c r="K55" s="267">
        <v>1</v>
      </c>
      <c r="L55" s="264">
        <f t="shared" si="4"/>
        <v>0</v>
      </c>
      <c r="M55" s="247"/>
      <c r="N55" s="266">
        <f>ROUND((3.59+10*0.7)/4,2)</f>
        <v>2.65</v>
      </c>
      <c r="O55" s="266"/>
      <c r="P55" s="266">
        <v>0.14499999999999999</v>
      </c>
      <c r="Q55" s="245"/>
      <c r="R55" s="266">
        <f>ROUND((0.704 +0.75 *0.7),2)</f>
        <v>1.23</v>
      </c>
      <c r="S55" s="266"/>
      <c r="T55" s="266"/>
      <c r="U55" s="266"/>
      <c r="V55" s="266"/>
      <c r="W55" s="266">
        <f t="shared" si="13"/>
        <v>95.140499999999989</v>
      </c>
      <c r="X55" s="245"/>
    </row>
    <row r="56" spans="1:24" ht="16.5" thickBot="1">
      <c r="A56" s="245"/>
      <c r="B56" s="245"/>
      <c r="C56" s="262" t="s">
        <v>157</v>
      </c>
      <c r="D56" s="263"/>
      <c r="E56" s="264">
        <f t="shared" si="0"/>
        <v>0</v>
      </c>
      <c r="F56" s="264">
        <f t="shared" si="1"/>
        <v>0.50459999999999994</v>
      </c>
      <c r="G56" s="264">
        <f t="shared" si="2"/>
        <v>1.48915</v>
      </c>
      <c r="H56" s="264">
        <f t="shared" si="5"/>
        <v>1.7704500000000001</v>
      </c>
      <c r="I56" s="267">
        <v>1</v>
      </c>
      <c r="J56" s="265">
        <f t="shared" si="3"/>
        <v>3918.0596499999992</v>
      </c>
      <c r="K56" s="267">
        <v>1</v>
      </c>
      <c r="L56" s="264">
        <f t="shared" si="4"/>
        <v>0</v>
      </c>
      <c r="M56" s="247"/>
      <c r="N56" s="266">
        <f>ROUND((3.59+10*1)/4,2)</f>
        <v>3.4</v>
      </c>
      <c r="O56" s="266">
        <f>(O55+O57)/2</f>
        <v>0</v>
      </c>
      <c r="P56" s="266">
        <v>0.14499999999999999</v>
      </c>
      <c r="Q56" s="245">
        <f>(Q55+Q57)/2</f>
        <v>0</v>
      </c>
      <c r="R56" s="266">
        <f>ROUND((0.704 +0.75 *1),2)</f>
        <v>1.45</v>
      </c>
      <c r="S56" s="266"/>
      <c r="T56" s="266"/>
      <c r="U56" s="266"/>
      <c r="V56" s="266"/>
      <c r="W56" s="266">
        <f t="shared" si="13"/>
        <v>112.15749999999998</v>
      </c>
      <c r="X56" s="245"/>
    </row>
    <row r="57" spans="1:24" ht="16.5" thickBot="1">
      <c r="A57" s="245"/>
      <c r="B57" s="245"/>
      <c r="C57" s="262" t="s">
        <v>158</v>
      </c>
      <c r="D57" s="263"/>
      <c r="E57" s="264">
        <f t="shared" si="0"/>
        <v>0</v>
      </c>
      <c r="F57" s="264">
        <f t="shared" si="1"/>
        <v>0.6411</v>
      </c>
      <c r="G57" s="264">
        <f t="shared" si="2"/>
        <v>1.8840500000000002</v>
      </c>
      <c r="H57" s="264">
        <f t="shared" si="5"/>
        <v>2.2422</v>
      </c>
      <c r="I57" s="267">
        <v>1</v>
      </c>
      <c r="J57" s="265">
        <f t="shared" si="3"/>
        <v>4723.1767499999996</v>
      </c>
      <c r="K57" s="267">
        <v>1</v>
      </c>
      <c r="L57" s="264">
        <f t="shared" si="4"/>
        <v>0</v>
      </c>
      <c r="M57" s="247"/>
      <c r="N57" s="266">
        <f>ROUND((4+11.2*1)/4,2)</f>
        <v>3.8</v>
      </c>
      <c r="O57" s="266"/>
      <c r="P57" s="266">
        <v>0.17</v>
      </c>
      <c r="Q57" s="245"/>
      <c r="R57" s="266">
        <f>ROUND((0.843 +0.84*1.2),2)</f>
        <v>1.85</v>
      </c>
      <c r="S57" s="266"/>
      <c r="T57" s="266"/>
      <c r="U57" s="266"/>
      <c r="V57" s="266"/>
      <c r="W57" s="266">
        <f t="shared" si="13"/>
        <v>143.0975</v>
      </c>
      <c r="X57" s="245"/>
    </row>
    <row r="58" spans="1:24" ht="16.5" thickBot="1">
      <c r="A58" s="245"/>
      <c r="B58" s="245"/>
      <c r="C58" s="262" t="s">
        <v>159</v>
      </c>
      <c r="D58" s="263"/>
      <c r="E58" s="264">
        <f t="shared" si="0"/>
        <v>0</v>
      </c>
      <c r="F58" s="264">
        <f t="shared" si="1"/>
        <v>0.80657999999999996</v>
      </c>
      <c r="G58" s="264">
        <f t="shared" si="2"/>
        <v>2.3575999999999997</v>
      </c>
      <c r="H58" s="264">
        <f t="shared" si="5"/>
        <v>2.8094099999999997</v>
      </c>
      <c r="I58" s="267">
        <v>1</v>
      </c>
      <c r="J58" s="265">
        <f t="shared" si="3"/>
        <v>5696.1854399999984</v>
      </c>
      <c r="K58" s="267">
        <v>1</v>
      </c>
      <c r="L58" s="264">
        <f t="shared" si="4"/>
        <v>0</v>
      </c>
      <c r="M58" s="247"/>
      <c r="N58" s="266">
        <f>ROUND((4.53+12.2*1)/4,2)</f>
        <v>4.18</v>
      </c>
      <c r="O58" s="266"/>
      <c r="P58" s="266">
        <v>0.191</v>
      </c>
      <c r="Q58" s="245"/>
      <c r="R58" s="266">
        <f>ROUND((0.968 +0.915 *1.5),2)</f>
        <v>2.34</v>
      </c>
      <c r="S58" s="266"/>
      <c r="T58" s="266"/>
      <c r="U58" s="266"/>
      <c r="V58" s="266"/>
      <c r="W58" s="266">
        <f t="shared" si="13"/>
        <v>180.99899999999997</v>
      </c>
      <c r="X58" s="245"/>
    </row>
    <row r="59" spans="1:24" ht="16.5" thickBot="1">
      <c r="A59" s="245"/>
      <c r="B59" s="245"/>
      <c r="C59" s="262" t="s">
        <v>160</v>
      </c>
      <c r="D59" s="263"/>
      <c r="E59" s="264">
        <f t="shared" si="0"/>
        <v>0</v>
      </c>
      <c r="F59" s="264">
        <f t="shared" si="1"/>
        <v>0.89753699999999992</v>
      </c>
      <c r="G59" s="264">
        <f t="shared" si="2"/>
        <v>2.6274289999999998</v>
      </c>
      <c r="H59" s="264">
        <f t="shared" si="5"/>
        <v>3.1298114999999997</v>
      </c>
      <c r="I59" s="267">
        <v>1</v>
      </c>
      <c r="J59" s="265">
        <f t="shared" si="3"/>
        <v>6242.2876447777762</v>
      </c>
      <c r="K59" s="267">
        <v>1</v>
      </c>
      <c r="L59" s="264">
        <f t="shared" si="4"/>
        <v>0</v>
      </c>
      <c r="M59" s="247"/>
      <c r="N59" s="266">
        <f>N58/1.8*2</f>
        <v>4.6444444444444439</v>
      </c>
      <c r="O59" s="266"/>
      <c r="P59" s="266">
        <f>P58*1.15</f>
        <v>0.21964999999999998</v>
      </c>
      <c r="Q59" s="245"/>
      <c r="R59" s="266">
        <f>R58/1.8*2</f>
        <v>2.5999999999999996</v>
      </c>
      <c r="S59" s="266"/>
      <c r="T59" s="266"/>
      <c r="U59" s="266"/>
      <c r="V59" s="266"/>
      <c r="W59" s="266">
        <f t="shared" si="13"/>
        <v>201.10999999999996</v>
      </c>
      <c r="X59" s="245"/>
    </row>
    <row r="60" spans="1:24" ht="16.5" thickBot="1">
      <c r="A60" s="245"/>
      <c r="B60" s="245"/>
      <c r="C60" s="262" t="s">
        <v>161</v>
      </c>
      <c r="D60" s="263"/>
      <c r="E60" s="264">
        <f t="shared" si="0"/>
        <v>0</v>
      </c>
      <c r="F60" s="264">
        <f t="shared" si="1"/>
        <v>1.1179675499999999</v>
      </c>
      <c r="G60" s="264">
        <f t="shared" si="2"/>
        <v>3.2610033499999997</v>
      </c>
      <c r="H60" s="264">
        <f t="shared" si="5"/>
        <v>3.8878832249999999</v>
      </c>
      <c r="I60" s="267">
        <v>1</v>
      </c>
      <c r="J60" s="265">
        <f t="shared" si="3"/>
        <v>7594.3781092722211</v>
      </c>
      <c r="K60" s="267">
        <v>1</v>
      </c>
      <c r="L60" s="264">
        <f t="shared" si="4"/>
        <v>0</v>
      </c>
      <c r="M60" s="247"/>
      <c r="N60" s="266">
        <f>N59/2*2.5</f>
        <v>5.8055555555555554</v>
      </c>
      <c r="O60" s="266"/>
      <c r="P60" s="266">
        <f>P59*1.15</f>
        <v>0.25259749999999997</v>
      </c>
      <c r="Q60" s="245"/>
      <c r="R60" s="266">
        <f>R59/2*2.5</f>
        <v>3.2499999999999996</v>
      </c>
      <c r="S60" s="266"/>
      <c r="T60" s="266"/>
      <c r="U60" s="266"/>
      <c r="V60" s="266"/>
      <c r="W60" s="266">
        <f t="shared" si="13"/>
        <v>251.38749999999996</v>
      </c>
      <c r="X60" s="245"/>
    </row>
    <row r="61" spans="1:24" ht="16.5" thickBot="1">
      <c r="A61" s="245"/>
      <c r="B61" s="245"/>
      <c r="C61" s="262" t="s">
        <v>439</v>
      </c>
      <c r="D61" s="263"/>
      <c r="E61" s="264">
        <f t="shared" si="0"/>
        <v>0</v>
      </c>
      <c r="F61" s="264">
        <f t="shared" si="1"/>
        <v>0.11253000000000002</v>
      </c>
      <c r="G61" s="264">
        <f t="shared" si="2"/>
        <v>0.31406100000000003</v>
      </c>
      <c r="H61" s="264">
        <f t="shared" si="5"/>
        <v>0.37851000000000007</v>
      </c>
      <c r="I61" s="267"/>
      <c r="J61" s="265">
        <f t="shared" si="3"/>
        <v>813.88541000000009</v>
      </c>
      <c r="K61" s="267"/>
      <c r="L61" s="264">
        <f t="shared" si="4"/>
        <v>0</v>
      </c>
      <c r="M61" s="247"/>
      <c r="N61" s="266">
        <f>2+1.56+0.72</f>
        <v>4.28</v>
      </c>
      <c r="O61" s="266"/>
      <c r="P61" s="266"/>
      <c r="Q61" s="245"/>
      <c r="R61" s="266">
        <f>0.1+0.16+0.081</f>
        <v>0.34100000000000003</v>
      </c>
      <c r="S61" s="266"/>
      <c r="T61" s="266"/>
      <c r="U61" s="266"/>
      <c r="V61" s="266"/>
      <c r="W61" s="266">
        <f>1.32+4.11+4.74+1.69+3</f>
        <v>14.860000000000001</v>
      </c>
      <c r="X61" s="245"/>
    </row>
    <row r="62" spans="1:24" ht="16.5" thickBot="1">
      <c r="A62" s="245"/>
      <c r="B62" s="245"/>
      <c r="C62" s="262" t="s">
        <v>440</v>
      </c>
      <c r="D62" s="263"/>
      <c r="E62" s="264">
        <f t="shared" si="0"/>
        <v>0</v>
      </c>
      <c r="F62" s="264">
        <f t="shared" si="1"/>
        <v>0.12243000000000002</v>
      </c>
      <c r="G62" s="264">
        <f t="shared" si="2"/>
        <v>0.34169100000000008</v>
      </c>
      <c r="H62" s="264">
        <f t="shared" si="5"/>
        <v>0.41181000000000012</v>
      </c>
      <c r="I62" s="267"/>
      <c r="J62" s="265">
        <f t="shared" si="3"/>
        <v>912.06511</v>
      </c>
      <c r="K62" s="267"/>
      <c r="L62" s="264">
        <f t="shared" si="4"/>
        <v>0</v>
      </c>
      <c r="M62" s="247"/>
      <c r="N62" s="266">
        <f>2+1.76+0.72</f>
        <v>4.4799999999999995</v>
      </c>
      <c r="O62" s="266"/>
      <c r="P62" s="266"/>
      <c r="Q62" s="245"/>
      <c r="R62" s="266">
        <f>0.1+0.19+0.081</f>
        <v>0.37100000000000005</v>
      </c>
      <c r="S62" s="266"/>
      <c r="T62" s="266"/>
      <c r="U62" s="266"/>
      <c r="V62" s="266"/>
      <c r="W62" s="266">
        <f>1.32+4.11+7.42+2.52+3</f>
        <v>18.37</v>
      </c>
      <c r="X62" s="245"/>
    </row>
    <row r="63" spans="1:24" ht="16.5" thickBot="1">
      <c r="A63" s="245"/>
      <c r="B63" s="245"/>
      <c r="C63" s="262" t="s">
        <v>441</v>
      </c>
      <c r="D63" s="263"/>
      <c r="E63" s="264">
        <f t="shared" si="0"/>
        <v>0</v>
      </c>
      <c r="F63" s="264">
        <f t="shared" si="1"/>
        <v>0.13233</v>
      </c>
      <c r="G63" s="264">
        <f t="shared" si="2"/>
        <v>0.36932100000000001</v>
      </c>
      <c r="H63" s="264">
        <f t="shared" si="5"/>
        <v>0.44511000000000006</v>
      </c>
      <c r="I63" s="267"/>
      <c r="J63" s="265">
        <f t="shared" si="3"/>
        <v>1028.23101</v>
      </c>
      <c r="K63" s="267"/>
      <c r="L63" s="264">
        <f t="shared" si="4"/>
        <v>0</v>
      </c>
      <c r="M63" s="247"/>
      <c r="N63" s="266">
        <f>2+1.96+0.72</f>
        <v>4.68</v>
      </c>
      <c r="O63" s="266"/>
      <c r="P63" s="266"/>
      <c r="Q63" s="245"/>
      <c r="R63" s="266">
        <f>0.1+0.22+0.081</f>
        <v>0.40100000000000002</v>
      </c>
      <c r="S63" s="266"/>
      <c r="T63" s="266"/>
      <c r="U63" s="266"/>
      <c r="V63" s="266"/>
      <c r="W63" s="266">
        <f>1.32+4.11+10.23+3.15+4</f>
        <v>22.81</v>
      </c>
      <c r="X63" s="245"/>
    </row>
    <row r="64" spans="1:24" ht="16.5" thickBot="1">
      <c r="A64" s="245"/>
      <c r="B64" s="245"/>
      <c r="C64" s="262" t="s">
        <v>442</v>
      </c>
      <c r="D64" s="263"/>
      <c r="E64" s="264">
        <f t="shared" si="0"/>
        <v>0</v>
      </c>
      <c r="F64" s="264">
        <f t="shared" si="1"/>
        <v>0.38417000000000001</v>
      </c>
      <c r="G64" s="264">
        <f t="shared" si="2"/>
        <v>1.55436</v>
      </c>
      <c r="H64" s="264">
        <f t="shared" si="5"/>
        <v>2.9078100000000004</v>
      </c>
      <c r="I64" s="267"/>
      <c r="J64" s="265">
        <f t="shared" si="3"/>
        <v>882.17088000000001</v>
      </c>
      <c r="K64" s="267"/>
      <c r="L64" s="264">
        <f t="shared" si="4"/>
        <v>0</v>
      </c>
      <c r="M64" s="247">
        <v>1.22</v>
      </c>
      <c r="N64" s="266">
        <f>7.413/3</f>
        <v>2.4710000000000001</v>
      </c>
      <c r="O64" s="266"/>
      <c r="P64" s="266"/>
      <c r="Q64" s="245">
        <v>0.97099999999999997</v>
      </c>
      <c r="R64" s="266"/>
      <c r="S64" s="266"/>
      <c r="T64" s="266"/>
      <c r="U64" s="266"/>
      <c r="V64" s="266"/>
      <c r="W64" s="266"/>
      <c r="X64" s="245"/>
    </row>
    <row r="65" spans="1:24" ht="16.5" thickBot="1">
      <c r="A65" s="245"/>
      <c r="B65" s="245"/>
      <c r="C65" s="262" t="s">
        <v>443</v>
      </c>
      <c r="D65" s="263"/>
      <c r="E65" s="264">
        <f t="shared" si="0"/>
        <v>0</v>
      </c>
      <c r="F65" s="264">
        <f t="shared" si="1"/>
        <v>0.47295000000000004</v>
      </c>
      <c r="G65" s="264">
        <f t="shared" si="2"/>
        <v>1.9178999999999999</v>
      </c>
      <c r="H65" s="264">
        <f t="shared" si="5"/>
        <v>3.6103500000000004</v>
      </c>
      <c r="I65" s="267"/>
      <c r="J65" s="265">
        <f t="shared" si="3"/>
        <v>1059.2508666666668</v>
      </c>
      <c r="K65" s="267"/>
      <c r="L65" s="264">
        <f t="shared" si="4"/>
        <v>0</v>
      </c>
      <c r="M65" s="247">
        <v>1.53</v>
      </c>
      <c r="N65" s="266">
        <f>8.15/3</f>
        <v>2.7166666666666668</v>
      </c>
      <c r="O65" s="266"/>
      <c r="P65" s="266"/>
      <c r="Q65" s="245">
        <v>1.1850000000000001</v>
      </c>
      <c r="R65" s="266"/>
      <c r="S65" s="266"/>
      <c r="T65" s="266"/>
      <c r="U65" s="266"/>
      <c r="V65" s="266"/>
      <c r="W65" s="266"/>
      <c r="X65" s="245"/>
    </row>
    <row r="66" spans="1:24" ht="16.5" thickBot="1">
      <c r="A66" s="245"/>
      <c r="B66" s="245"/>
      <c r="C66" s="262" t="s">
        <v>444</v>
      </c>
      <c r="D66" s="263"/>
      <c r="E66" s="264">
        <f t="shared" si="0"/>
        <v>0</v>
      </c>
      <c r="F66" s="264">
        <f t="shared" si="1"/>
        <v>0.75196000000000007</v>
      </c>
      <c r="G66" s="264">
        <f t="shared" si="2"/>
        <v>3.0643799999999999</v>
      </c>
      <c r="H66" s="264">
        <f t="shared" si="5"/>
        <v>5.8462800000000001</v>
      </c>
      <c r="I66" s="267"/>
      <c r="J66" s="265">
        <f t="shared" si="3"/>
        <v>1635.64176</v>
      </c>
      <c r="K66" s="267"/>
      <c r="L66" s="264">
        <f t="shared" si="4"/>
        <v>0</v>
      </c>
      <c r="M66" s="247">
        <v>2.5299999999999998</v>
      </c>
      <c r="N66" s="266">
        <f>11.04/3</f>
        <v>3.6799999999999997</v>
      </c>
      <c r="O66" s="266"/>
      <c r="P66" s="266"/>
      <c r="Q66" s="245">
        <v>1.8480000000000001</v>
      </c>
      <c r="R66" s="266"/>
      <c r="S66" s="266"/>
      <c r="T66" s="266"/>
      <c r="U66" s="266"/>
      <c r="V66" s="266"/>
      <c r="W66" s="266"/>
      <c r="X66" s="245"/>
    </row>
    <row r="67" spans="1:24" ht="16.5" thickBot="1">
      <c r="A67" s="245"/>
      <c r="B67" s="245"/>
      <c r="C67" s="262" t="s">
        <v>163</v>
      </c>
      <c r="D67" s="263"/>
      <c r="E67" s="264">
        <f t="shared" si="0"/>
        <v>0</v>
      </c>
      <c r="F67" s="264">
        <f t="shared" si="1"/>
        <v>1.08901</v>
      </c>
      <c r="G67" s="264">
        <f t="shared" si="2"/>
        <v>4.4434800000000001</v>
      </c>
      <c r="H67" s="264">
        <f t="shared" si="5"/>
        <v>8.5059300000000011</v>
      </c>
      <c r="I67" s="267"/>
      <c r="J67" s="265">
        <f t="shared" si="3"/>
        <v>2313.6580933333335</v>
      </c>
      <c r="K67" s="267"/>
      <c r="L67" s="264">
        <f t="shared" si="4"/>
        <v>0</v>
      </c>
      <c r="M67" s="247">
        <v>3.7</v>
      </c>
      <c r="N67" s="266">
        <f>14.05/3</f>
        <v>4.6833333333333336</v>
      </c>
      <c r="O67" s="266"/>
      <c r="P67" s="266"/>
      <c r="Q67" s="245">
        <v>2.6629999999999998</v>
      </c>
      <c r="R67" s="266"/>
      <c r="S67" s="266"/>
      <c r="T67" s="266"/>
      <c r="U67" s="266"/>
      <c r="V67" s="266"/>
      <c r="W67" s="266"/>
      <c r="X67" s="245"/>
    </row>
    <row r="68" spans="1:24" ht="16.5" thickBot="1">
      <c r="A68" s="245"/>
      <c r="B68" s="245"/>
      <c r="C68" s="262" t="s">
        <v>164</v>
      </c>
      <c r="D68" s="263"/>
      <c r="E68" s="264">
        <f t="shared" ref="E68:E82" si="14">O68*0.846</f>
        <v>0</v>
      </c>
      <c r="F68" s="264">
        <f t="shared" ref="F68:F82" si="15">A68*0.231+M68*0.1+O68*0.0588+P68*0.18+Q68*0.27+R68*0.33+T68*0.005*0.434</f>
        <v>1.4740100000000003</v>
      </c>
      <c r="G68" s="264">
        <f t="shared" ref="G68:G82" si="16">A68*0.6447+M68*0.51+O68*0.396+P68*1.06+Q68*0.96+R68*0.921+T68*0.005*1.575</f>
        <v>6.0316799999999997</v>
      </c>
      <c r="H68" s="264">
        <f t="shared" si="5"/>
        <v>11.634930000000001</v>
      </c>
      <c r="I68" s="267"/>
      <c r="J68" s="265">
        <f t="shared" ref="J68:J82" si="17">A68*306.45+M68*238+N68*90.76+O68*438+P68*340.38+Q68*378.52+R68*404.81+S68*411.043+T68*412.45*0.005+U68*17.12+V68*18.08+W68*19.34+X68*234.12+K68*436.99+I68*367.03</f>
        <v>3097.2651599999999</v>
      </c>
      <c r="K68" s="267"/>
      <c r="L68" s="264">
        <f t="shared" ref="L68:L82" si="18">O68*0.0282</f>
        <v>0</v>
      </c>
      <c r="M68" s="247">
        <v>5.12</v>
      </c>
      <c r="N68" s="266">
        <f>17.52/3</f>
        <v>5.84</v>
      </c>
      <c r="O68" s="266"/>
      <c r="P68" s="266"/>
      <c r="Q68" s="245">
        <v>3.5630000000000002</v>
      </c>
      <c r="R68" s="266"/>
      <c r="S68" s="266"/>
      <c r="T68" s="266"/>
      <c r="U68" s="266"/>
      <c r="V68" s="266"/>
      <c r="W68" s="266"/>
      <c r="X68" s="245"/>
    </row>
    <row r="69" spans="1:24" ht="16.5" thickBot="1">
      <c r="A69" s="245"/>
      <c r="B69" s="245"/>
      <c r="C69" s="262" t="s">
        <v>165</v>
      </c>
      <c r="D69" s="263"/>
      <c r="E69" s="264">
        <f t="shared" si="14"/>
        <v>0</v>
      </c>
      <c r="F69" s="264">
        <f t="shared" si="15"/>
        <v>2.41967</v>
      </c>
      <c r="G69" s="264">
        <f t="shared" si="16"/>
        <v>9.9546600000000005</v>
      </c>
      <c r="H69" s="264">
        <f t="shared" ref="H69" si="19">A69*(0.777+0.45)+M69*(1.5)+P69*1.11+Q69*1.11+R69*1.11</f>
        <v>19.47531</v>
      </c>
      <c r="I69" s="267"/>
      <c r="J69" s="265">
        <f t="shared" si="17"/>
        <v>4958.966253333334</v>
      </c>
      <c r="K69" s="267"/>
      <c r="L69" s="264">
        <f t="shared" si="18"/>
        <v>0</v>
      </c>
      <c r="M69" s="247">
        <v>8.75</v>
      </c>
      <c r="N69" s="266">
        <f>23.5/3</f>
        <v>7.833333333333333</v>
      </c>
      <c r="O69" s="266"/>
      <c r="P69" s="266"/>
      <c r="Q69" s="245">
        <v>5.7210000000000001</v>
      </c>
      <c r="R69" s="266"/>
      <c r="S69" s="266"/>
      <c r="T69" s="266"/>
      <c r="U69" s="266"/>
      <c r="V69" s="266"/>
      <c r="W69" s="266"/>
      <c r="X69" s="245"/>
    </row>
    <row r="70" spans="1:24" ht="16.5" thickBot="1">
      <c r="A70" s="27"/>
      <c r="B70" s="27"/>
      <c r="C70" s="22" t="s">
        <v>455</v>
      </c>
      <c r="D70" s="1"/>
      <c r="E70" s="264">
        <f t="shared" si="14"/>
        <v>0</v>
      </c>
      <c r="F70" s="264">
        <f t="shared" si="15"/>
        <v>0</v>
      </c>
      <c r="G70" s="264">
        <f t="shared" si="16"/>
        <v>0</v>
      </c>
      <c r="H70" s="264">
        <f t="shared" ref="H70:H82" si="20">A70*(0.777+0.45)+M70*(0.777+0.45)+P70*1.11+Q70*1.11+R70*1.11</f>
        <v>0</v>
      </c>
      <c r="I70" s="2"/>
      <c r="J70" s="265">
        <f t="shared" si="17"/>
        <v>0</v>
      </c>
      <c r="K70" s="23"/>
      <c r="L70" s="264">
        <f t="shared" si="18"/>
        <v>0</v>
      </c>
      <c r="M70" s="24"/>
      <c r="N70" s="24"/>
      <c r="O70" s="25"/>
      <c r="P70" s="26"/>
      <c r="Q70" s="27"/>
      <c r="R70" s="24"/>
      <c r="S70" s="24"/>
      <c r="T70" s="24"/>
      <c r="U70" s="24"/>
      <c r="V70" s="24"/>
      <c r="W70" s="24"/>
      <c r="X70" s="27"/>
    </row>
    <row r="71" spans="1:24" ht="16.5" thickBot="1">
      <c r="A71" s="27"/>
      <c r="B71" s="27"/>
      <c r="C71" s="22" t="s">
        <v>456</v>
      </c>
      <c r="D71" s="1"/>
      <c r="E71" s="264">
        <f t="shared" si="14"/>
        <v>0</v>
      </c>
      <c r="F71" s="264">
        <f t="shared" si="15"/>
        <v>0</v>
      </c>
      <c r="G71" s="264">
        <f t="shared" si="16"/>
        <v>0</v>
      </c>
      <c r="H71" s="264">
        <f t="shared" si="20"/>
        <v>0</v>
      </c>
      <c r="I71" s="2"/>
      <c r="J71" s="265">
        <f t="shared" si="17"/>
        <v>0</v>
      </c>
      <c r="K71" s="23"/>
      <c r="L71" s="264">
        <f t="shared" si="18"/>
        <v>0</v>
      </c>
      <c r="M71" s="24"/>
      <c r="N71" s="24"/>
      <c r="O71" s="25"/>
      <c r="P71" s="26"/>
      <c r="Q71" s="27"/>
      <c r="R71" s="24"/>
      <c r="S71" s="24"/>
      <c r="T71" s="24"/>
      <c r="U71" s="24"/>
      <c r="V71" s="24"/>
      <c r="W71" s="24"/>
      <c r="X71" s="27"/>
    </row>
    <row r="72" spans="1:24" ht="16.5" thickBot="1">
      <c r="A72" s="27"/>
      <c r="B72" s="27"/>
      <c r="C72" s="22" t="s">
        <v>457</v>
      </c>
      <c r="D72" s="1"/>
      <c r="E72" s="264">
        <f t="shared" si="14"/>
        <v>0</v>
      </c>
      <c r="F72" s="264">
        <f t="shared" si="15"/>
        <v>0</v>
      </c>
      <c r="G72" s="264">
        <f t="shared" si="16"/>
        <v>0</v>
      </c>
      <c r="H72" s="264">
        <f t="shared" si="20"/>
        <v>0</v>
      </c>
      <c r="I72" s="2"/>
      <c r="J72" s="265">
        <f t="shared" si="17"/>
        <v>0</v>
      </c>
      <c r="K72" s="23"/>
      <c r="L72" s="264">
        <f t="shared" si="18"/>
        <v>0</v>
      </c>
      <c r="M72" s="24"/>
      <c r="N72" s="24"/>
      <c r="O72" s="25"/>
      <c r="P72" s="26"/>
      <c r="Q72" s="27"/>
      <c r="R72" s="24"/>
      <c r="S72" s="24"/>
      <c r="T72" s="24"/>
      <c r="U72" s="24"/>
      <c r="V72" s="24"/>
      <c r="W72" s="24"/>
      <c r="X72" s="27"/>
    </row>
    <row r="73" spans="1:24" ht="16.5" thickBot="1">
      <c r="A73" s="27"/>
      <c r="B73" s="27"/>
      <c r="C73" s="22" t="s">
        <v>458</v>
      </c>
      <c r="D73" s="1"/>
      <c r="E73" s="264">
        <f t="shared" si="14"/>
        <v>0</v>
      </c>
      <c r="F73" s="264">
        <f t="shared" si="15"/>
        <v>0</v>
      </c>
      <c r="G73" s="264">
        <f t="shared" si="16"/>
        <v>0</v>
      </c>
      <c r="H73" s="264">
        <f t="shared" si="20"/>
        <v>0</v>
      </c>
      <c r="I73" s="2"/>
      <c r="J73" s="265">
        <f t="shared" si="17"/>
        <v>0</v>
      </c>
      <c r="K73" s="23"/>
      <c r="L73" s="264">
        <f t="shared" si="18"/>
        <v>0</v>
      </c>
      <c r="M73" s="24"/>
      <c r="N73" s="24"/>
      <c r="O73" s="25"/>
      <c r="P73" s="26"/>
      <c r="Q73" s="27"/>
      <c r="R73" s="24"/>
      <c r="S73" s="24"/>
      <c r="T73" s="24"/>
      <c r="U73" s="24"/>
      <c r="V73" s="24"/>
      <c r="W73" s="24"/>
      <c r="X73" s="27"/>
    </row>
    <row r="74" spans="1:24" ht="16.5" thickBot="1">
      <c r="A74" s="27"/>
      <c r="B74" s="27"/>
      <c r="C74" s="22" t="s">
        <v>459</v>
      </c>
      <c r="D74" s="1"/>
      <c r="E74" s="264">
        <f t="shared" si="14"/>
        <v>0</v>
      </c>
      <c r="F74" s="264">
        <f t="shared" si="15"/>
        <v>0</v>
      </c>
      <c r="G74" s="264">
        <f t="shared" si="16"/>
        <v>0</v>
      </c>
      <c r="H74" s="264">
        <f t="shared" si="20"/>
        <v>0</v>
      </c>
      <c r="I74" s="2"/>
      <c r="J74" s="265">
        <f t="shared" si="17"/>
        <v>0</v>
      </c>
      <c r="K74" s="23"/>
      <c r="L74" s="264">
        <f t="shared" si="18"/>
        <v>0</v>
      </c>
      <c r="M74" s="24"/>
      <c r="N74" s="24"/>
      <c r="O74" s="25"/>
      <c r="P74" s="26"/>
      <c r="Q74" s="27"/>
      <c r="R74" s="24"/>
      <c r="S74" s="24"/>
      <c r="T74" s="24"/>
      <c r="U74" s="24"/>
      <c r="V74" s="24"/>
      <c r="W74" s="24"/>
      <c r="X74" s="27"/>
    </row>
    <row r="75" spans="1:24" ht="16.5" thickBot="1">
      <c r="A75" s="27"/>
      <c r="B75" s="27"/>
      <c r="C75" s="22" t="s">
        <v>460</v>
      </c>
      <c r="D75" s="1"/>
      <c r="E75" s="264">
        <f t="shared" si="14"/>
        <v>0</v>
      </c>
      <c r="F75" s="264">
        <f t="shared" si="15"/>
        <v>0</v>
      </c>
      <c r="G75" s="264">
        <f t="shared" si="16"/>
        <v>0</v>
      </c>
      <c r="H75" s="264">
        <f t="shared" si="20"/>
        <v>0</v>
      </c>
      <c r="I75" s="2"/>
      <c r="J75" s="265">
        <f t="shared" si="17"/>
        <v>0</v>
      </c>
      <c r="K75" s="23"/>
      <c r="L75" s="264">
        <f t="shared" si="18"/>
        <v>0</v>
      </c>
      <c r="M75" s="24"/>
      <c r="N75" s="24"/>
      <c r="O75" s="25"/>
      <c r="P75" s="26"/>
      <c r="Q75" s="27"/>
      <c r="R75" s="24"/>
      <c r="S75" s="24"/>
      <c r="T75" s="24"/>
      <c r="U75" s="24"/>
      <c r="V75" s="24"/>
      <c r="W75" s="24"/>
      <c r="X75" s="27"/>
    </row>
    <row r="76" spans="1:24" ht="16.5" thickBot="1">
      <c r="A76" s="27"/>
      <c r="B76" s="27"/>
      <c r="C76" s="22" t="s">
        <v>461</v>
      </c>
      <c r="D76" s="1"/>
      <c r="E76" s="264">
        <f t="shared" si="14"/>
        <v>0</v>
      </c>
      <c r="F76" s="264">
        <f t="shared" si="15"/>
        <v>0</v>
      </c>
      <c r="G76" s="264">
        <f t="shared" si="16"/>
        <v>0</v>
      </c>
      <c r="H76" s="264">
        <f t="shared" si="20"/>
        <v>0</v>
      </c>
      <c r="I76" s="2"/>
      <c r="J76" s="265">
        <f t="shared" si="17"/>
        <v>0</v>
      </c>
      <c r="K76" s="23"/>
      <c r="L76" s="264">
        <f t="shared" si="18"/>
        <v>0</v>
      </c>
      <c r="M76" s="24"/>
      <c r="N76" s="24"/>
      <c r="O76" s="25"/>
      <c r="P76" s="26"/>
      <c r="Q76" s="27"/>
      <c r="R76" s="24"/>
      <c r="S76" s="24"/>
      <c r="T76" s="24"/>
      <c r="U76" s="24"/>
      <c r="V76" s="24"/>
      <c r="W76" s="24"/>
      <c r="X76" s="27"/>
    </row>
    <row r="77" spans="1:24" ht="16.5" thickBot="1">
      <c r="A77" s="27"/>
      <c r="B77" s="27"/>
      <c r="C77" s="22" t="s">
        <v>462</v>
      </c>
      <c r="D77" s="1"/>
      <c r="E77" s="264">
        <f t="shared" si="14"/>
        <v>0</v>
      </c>
      <c r="F77" s="264">
        <f t="shared" si="15"/>
        <v>0</v>
      </c>
      <c r="G77" s="264">
        <f t="shared" si="16"/>
        <v>0</v>
      </c>
      <c r="H77" s="264">
        <f t="shared" si="20"/>
        <v>0</v>
      </c>
      <c r="I77" s="2"/>
      <c r="J77" s="265">
        <f t="shared" si="17"/>
        <v>0</v>
      </c>
      <c r="K77" s="23"/>
      <c r="L77" s="264">
        <f t="shared" si="18"/>
        <v>0</v>
      </c>
      <c r="M77" s="24"/>
      <c r="N77" s="24"/>
      <c r="O77" s="25"/>
      <c r="P77" s="26"/>
      <c r="Q77" s="27"/>
      <c r="R77" s="24"/>
      <c r="S77" s="24"/>
      <c r="T77" s="24"/>
      <c r="U77" s="24"/>
      <c r="V77" s="24"/>
      <c r="W77" s="24"/>
      <c r="X77" s="27"/>
    </row>
    <row r="78" spans="1:24" ht="16.5" thickBot="1">
      <c r="A78" s="27"/>
      <c r="B78" s="27"/>
      <c r="C78" s="22" t="s">
        <v>463</v>
      </c>
      <c r="D78" s="1"/>
      <c r="E78" s="264">
        <f t="shared" si="14"/>
        <v>0</v>
      </c>
      <c r="F78" s="264">
        <f t="shared" si="15"/>
        <v>0</v>
      </c>
      <c r="G78" s="264">
        <f t="shared" si="16"/>
        <v>0</v>
      </c>
      <c r="H78" s="264">
        <f t="shared" si="20"/>
        <v>0</v>
      </c>
      <c r="I78" s="2"/>
      <c r="J78" s="265">
        <f t="shared" si="17"/>
        <v>0</v>
      </c>
      <c r="K78" s="23"/>
      <c r="L78" s="264">
        <f t="shared" si="18"/>
        <v>0</v>
      </c>
      <c r="M78" s="24"/>
      <c r="N78" s="24"/>
      <c r="O78" s="25"/>
      <c r="P78" s="26"/>
      <c r="Q78" s="27"/>
      <c r="R78" s="24"/>
      <c r="S78" s="24"/>
      <c r="T78" s="24"/>
      <c r="U78" s="24"/>
      <c r="V78" s="24"/>
      <c r="W78" s="24"/>
      <c r="X78" s="27"/>
    </row>
    <row r="79" spans="1:24" ht="16.5" thickBot="1">
      <c r="A79" s="27"/>
      <c r="B79" s="27"/>
      <c r="C79" s="22" t="s">
        <v>464</v>
      </c>
      <c r="D79" s="1"/>
      <c r="E79" s="264">
        <f t="shared" si="14"/>
        <v>0</v>
      </c>
      <c r="F79" s="264">
        <f t="shared" si="15"/>
        <v>0</v>
      </c>
      <c r="G79" s="264">
        <f t="shared" si="16"/>
        <v>0</v>
      </c>
      <c r="H79" s="264">
        <f t="shared" si="20"/>
        <v>0</v>
      </c>
      <c r="I79" s="2"/>
      <c r="J79" s="265">
        <f t="shared" si="17"/>
        <v>0</v>
      </c>
      <c r="K79" s="23"/>
      <c r="L79" s="264">
        <f t="shared" si="18"/>
        <v>0</v>
      </c>
      <c r="M79" s="24"/>
      <c r="N79" s="24"/>
      <c r="O79" s="25"/>
      <c r="P79" s="26"/>
      <c r="Q79" s="27"/>
      <c r="R79" s="24"/>
      <c r="S79" s="24"/>
      <c r="T79" s="24"/>
      <c r="U79" s="24"/>
      <c r="V79" s="24"/>
      <c r="W79" s="24"/>
      <c r="X79" s="27"/>
    </row>
    <row r="80" spans="1:24" ht="15" customHeight="1" thickBot="1">
      <c r="A80" s="27"/>
      <c r="B80" s="27"/>
      <c r="C80" s="22"/>
      <c r="D80" s="269"/>
      <c r="E80" s="264">
        <f t="shared" si="14"/>
        <v>0</v>
      </c>
      <c r="F80" s="264">
        <f t="shared" si="15"/>
        <v>0</v>
      </c>
      <c r="G80" s="264">
        <f t="shared" si="16"/>
        <v>0</v>
      </c>
      <c r="H80" s="264">
        <f t="shared" si="20"/>
        <v>0</v>
      </c>
      <c r="I80" s="2"/>
      <c r="J80" s="265">
        <f t="shared" si="17"/>
        <v>0</v>
      </c>
      <c r="K80" s="23"/>
      <c r="L80" s="264">
        <f t="shared" si="18"/>
        <v>0</v>
      </c>
      <c r="M80" s="24"/>
      <c r="N80" s="28"/>
      <c r="O80" s="28"/>
      <c r="P80" s="26"/>
      <c r="Q80" s="26"/>
      <c r="R80" s="26"/>
      <c r="S80" s="26"/>
      <c r="T80" s="26"/>
      <c r="U80" s="26"/>
      <c r="V80" s="26"/>
      <c r="W80" s="26"/>
      <c r="X80" s="26"/>
    </row>
    <row r="81" spans="1:24" ht="15" customHeight="1" thickBot="1">
      <c r="A81" s="27"/>
      <c r="B81" s="27"/>
      <c r="C81" s="22"/>
      <c r="D81" s="269"/>
      <c r="E81" s="264">
        <f t="shared" si="14"/>
        <v>0</v>
      </c>
      <c r="F81" s="264">
        <f t="shared" si="15"/>
        <v>0</v>
      </c>
      <c r="G81" s="264">
        <f t="shared" si="16"/>
        <v>0</v>
      </c>
      <c r="H81" s="264">
        <f t="shared" si="20"/>
        <v>0</v>
      </c>
      <c r="I81" s="2"/>
      <c r="J81" s="265">
        <f t="shared" si="17"/>
        <v>0</v>
      </c>
      <c r="K81" s="23"/>
      <c r="L81" s="264">
        <f t="shared" si="18"/>
        <v>0</v>
      </c>
      <c r="M81" s="24"/>
      <c r="N81" s="28"/>
      <c r="O81" s="28"/>
      <c r="P81" s="26"/>
      <c r="Q81" s="26"/>
      <c r="R81" s="26"/>
      <c r="S81" s="26"/>
      <c r="T81" s="26"/>
      <c r="U81" s="26"/>
      <c r="V81" s="26"/>
      <c r="W81" s="26"/>
      <c r="X81" s="26"/>
    </row>
    <row r="82" spans="1:24" ht="15" customHeight="1" thickBot="1">
      <c r="A82" s="27"/>
      <c r="B82" s="27"/>
      <c r="C82" s="22"/>
      <c r="D82" s="269"/>
      <c r="E82" s="264">
        <f t="shared" si="14"/>
        <v>0</v>
      </c>
      <c r="F82" s="264">
        <f t="shared" si="15"/>
        <v>0</v>
      </c>
      <c r="G82" s="264">
        <f t="shared" si="16"/>
        <v>0</v>
      </c>
      <c r="H82" s="264">
        <f t="shared" si="20"/>
        <v>0</v>
      </c>
      <c r="I82" s="2"/>
      <c r="J82" s="265">
        <f t="shared" si="17"/>
        <v>0</v>
      </c>
      <c r="K82" s="23"/>
      <c r="L82" s="264">
        <f t="shared" si="18"/>
        <v>0</v>
      </c>
      <c r="M82" s="24"/>
      <c r="N82" s="28"/>
      <c r="O82" s="28"/>
      <c r="P82" s="26"/>
      <c r="Q82" s="26"/>
      <c r="R82" s="26"/>
      <c r="S82" s="26"/>
      <c r="T82" s="26"/>
      <c r="U82" s="26"/>
      <c r="V82" s="26"/>
      <c r="W82" s="26"/>
      <c r="X82" s="26"/>
    </row>
    <row r="83" spans="1:24" ht="19.5" customHeight="1">
      <c r="A83" s="245"/>
      <c r="B83" s="245"/>
      <c r="C83" s="270"/>
      <c r="D83" s="270"/>
      <c r="E83" s="271"/>
      <c r="F83" s="271"/>
      <c r="G83" s="248"/>
      <c r="H83" s="248"/>
      <c r="I83" s="248"/>
      <c r="J83" s="247"/>
      <c r="K83" s="248" t="s">
        <v>76</v>
      </c>
      <c r="L83" s="248" t="s">
        <v>77</v>
      </c>
      <c r="M83" s="248" t="s">
        <v>78</v>
      </c>
      <c r="N83" s="248" t="s">
        <v>79</v>
      </c>
      <c r="O83" s="248" t="s">
        <v>80</v>
      </c>
      <c r="P83" s="248" t="s">
        <v>81</v>
      </c>
      <c r="Q83" s="248" t="s">
        <v>82</v>
      </c>
      <c r="R83" s="248" t="s">
        <v>83</v>
      </c>
      <c r="S83" s="248" t="s">
        <v>83</v>
      </c>
      <c r="T83" s="248" t="s">
        <v>84</v>
      </c>
      <c r="U83" s="248" t="s">
        <v>85</v>
      </c>
      <c r="V83" s="248" t="s">
        <v>85</v>
      </c>
      <c r="W83" s="248" t="s">
        <v>85</v>
      </c>
      <c r="X83" s="272"/>
    </row>
    <row r="84" spans="1:24" ht="15">
      <c r="A84" s="272"/>
      <c r="B84" s="272"/>
      <c r="C84" s="273"/>
      <c r="D84" s="273"/>
      <c r="E84" s="273"/>
      <c r="F84" s="274"/>
      <c r="G84" s="273"/>
      <c r="H84" s="273"/>
      <c r="I84" s="273"/>
      <c r="J84" s="273"/>
      <c r="K84" s="275"/>
      <c r="L84" s="273"/>
      <c r="M84" s="274"/>
      <c r="N84" s="273"/>
      <c r="O84" s="273"/>
      <c r="P84" s="273"/>
      <c r="Q84" s="273"/>
      <c r="R84" s="273"/>
      <c r="S84" s="273"/>
      <c r="T84" s="273"/>
      <c r="U84" s="273"/>
      <c r="V84" s="273"/>
      <c r="W84" s="273"/>
      <c r="X84" s="272"/>
    </row>
  </sheetData>
  <phoneticPr fontId="0" type="noConversion"/>
  <printOptions horizontalCentered="1" verticalCentered="1" gridLines="1" gridLinesSet="0"/>
  <pageMargins left="0.78740157480314965" right="0.6692913385826772" top="1.1811023622047245" bottom="0.98425196850393704" header="0.70866141732283472" footer="0.51181102362204722"/>
  <pageSetup paperSize="9" scale="10" orientation="landscape" horizontalDpi="4294967292" verticalDpi="180" r:id="rId1"/>
  <headerFooter alignWithMargins="0">
    <oddHeader>&amp;C&amp;"Arial,Negrito"&amp;14&amp;A</oddHeader>
    <oddFooter>&amp;C&amp;"Arial,Negrito"&amp;14&amp;F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1">
    <pageSetUpPr fitToPage="1"/>
  </sheetPr>
  <dimension ref="A1:T2683"/>
  <sheetViews>
    <sheetView showGridLines="0" showZeros="0" tabSelected="1" zoomScale="90" zoomScaleNormal="90" zoomScaleSheetLayoutView="50" workbookViewId="0">
      <selection activeCell="D33" sqref="D33"/>
    </sheetView>
  </sheetViews>
  <sheetFormatPr defaultColWidth="21.6640625" defaultRowHeight="12.75"/>
  <cols>
    <col min="1" max="1" width="21.6640625" style="244"/>
    <col min="2" max="2" width="17.6640625" style="636" customWidth="1"/>
    <col min="3" max="3" width="14.6640625" style="446" customWidth="1"/>
    <col min="4" max="4" width="121.33203125" style="244" customWidth="1"/>
    <col min="5" max="5" width="0.6640625" style="244" customWidth="1"/>
    <col min="6" max="6" width="14.83203125" style="244" customWidth="1"/>
    <col min="7" max="7" width="17.83203125" style="244" customWidth="1"/>
    <col min="8" max="8" width="10.5" style="244" customWidth="1"/>
    <col min="9" max="9" width="14.1640625" style="244" customWidth="1"/>
    <col min="10" max="10" width="15.6640625" style="244" customWidth="1"/>
    <col min="11" max="11" width="19.1640625" style="244" customWidth="1"/>
    <col min="12" max="12" width="6.5" style="244" customWidth="1"/>
    <col min="13" max="14" width="14.1640625" style="244" customWidth="1"/>
    <col min="15" max="17" width="18" style="244" customWidth="1"/>
    <col min="18" max="18" width="7.33203125" style="315" customWidth="1"/>
    <col min="19" max="19" width="7.33203125" style="244" customWidth="1"/>
    <col min="20" max="16384" width="21.6640625" style="3"/>
  </cols>
  <sheetData>
    <row r="1" spans="2:19" ht="13.5" thickBot="1">
      <c r="B1" s="302"/>
      <c r="C1" s="303"/>
      <c r="D1" s="304"/>
      <c r="E1" s="305"/>
      <c r="F1" s="306"/>
      <c r="G1" s="307"/>
      <c r="H1" s="308"/>
      <c r="I1" s="309"/>
      <c r="J1" s="310"/>
      <c r="K1" s="310"/>
      <c r="L1" s="311" t="s">
        <v>485</v>
      </c>
      <c r="M1" s="312"/>
      <c r="N1" s="312"/>
      <c r="O1" s="313"/>
      <c r="P1" s="309"/>
      <c r="Q1" s="314"/>
    </row>
    <row r="2" spans="2:19" ht="29.25" customHeight="1" thickBot="1">
      <c r="B2" s="316" t="s">
        <v>173</v>
      </c>
      <c r="C2" s="749"/>
      <c r="D2" s="317"/>
      <c r="E2" s="750"/>
      <c r="F2" s="823" t="s">
        <v>2109</v>
      </c>
      <c r="G2" s="824"/>
      <c r="H2" s="318"/>
      <c r="I2" s="751"/>
      <c r="J2" s="319"/>
      <c r="K2" s="751"/>
      <c r="L2" s="751"/>
      <c r="M2" s="751"/>
      <c r="N2" s="752"/>
      <c r="O2" s="753"/>
      <c r="P2" s="754"/>
      <c r="Q2" s="320"/>
    </row>
    <row r="3" spans="2:19">
      <c r="B3" s="321"/>
      <c r="C3" s="755"/>
      <c r="D3" s="322" t="s">
        <v>486</v>
      </c>
      <c r="E3" s="756"/>
      <c r="F3" s="757" t="s">
        <v>486</v>
      </c>
      <c r="G3" s="323"/>
      <c r="H3" s="324"/>
      <c r="I3" s="758"/>
      <c r="J3" s="319"/>
      <c r="K3" s="759"/>
      <c r="L3" s="322" t="s">
        <v>486</v>
      </c>
      <c r="M3" s="759"/>
      <c r="N3" s="759"/>
      <c r="O3" s="760"/>
      <c r="P3" s="758"/>
      <c r="Q3" s="325"/>
    </row>
    <row r="4" spans="2:19">
      <c r="B4" s="326" t="s">
        <v>174</v>
      </c>
      <c r="C4" s="761"/>
      <c r="D4" s="327" t="s">
        <v>175</v>
      </c>
      <c r="E4" s="762" t="s">
        <v>0</v>
      </c>
      <c r="F4" s="763"/>
      <c r="G4" s="328"/>
      <c r="H4" s="324"/>
      <c r="I4" s="758"/>
      <c r="J4" s="319"/>
      <c r="K4" s="759"/>
      <c r="L4" s="759"/>
      <c r="M4" s="759"/>
      <c r="N4" s="759"/>
      <c r="O4" s="760"/>
      <c r="P4" s="758"/>
      <c r="Q4" s="325"/>
    </row>
    <row r="5" spans="2:19">
      <c r="B5" s="326" t="s">
        <v>174</v>
      </c>
      <c r="C5" s="761"/>
      <c r="D5" s="327" t="s">
        <v>1</v>
      </c>
      <c r="E5" s="762" t="s">
        <v>0</v>
      </c>
      <c r="F5" s="763" t="s">
        <v>181</v>
      </c>
      <c r="G5" s="329"/>
      <c r="H5" s="324"/>
      <c r="I5" s="758"/>
      <c r="J5" s="319"/>
      <c r="K5" s="759"/>
      <c r="L5" s="759"/>
      <c r="M5" s="759"/>
      <c r="N5" s="759"/>
      <c r="O5" s="760"/>
      <c r="P5" s="758"/>
      <c r="Q5" s="325"/>
    </row>
    <row r="6" spans="2:19">
      <c r="B6" s="326" t="s">
        <v>174</v>
      </c>
      <c r="C6" s="761"/>
      <c r="D6" s="327" t="s">
        <v>2</v>
      </c>
      <c r="E6" s="762" t="s">
        <v>0</v>
      </c>
      <c r="F6" s="763"/>
      <c r="G6" s="328"/>
      <c r="H6" s="324"/>
      <c r="I6" s="758"/>
      <c r="J6" s="319"/>
      <c r="K6" s="759"/>
      <c r="L6" s="759"/>
      <c r="M6" s="759"/>
      <c r="N6" s="759"/>
      <c r="O6" s="760"/>
      <c r="P6" s="758"/>
      <c r="Q6" s="325"/>
    </row>
    <row r="7" spans="2:19">
      <c r="B7" s="326" t="s">
        <v>174</v>
      </c>
      <c r="C7" s="761"/>
      <c r="D7" s="327" t="s">
        <v>3</v>
      </c>
      <c r="E7" s="762" t="s">
        <v>0</v>
      </c>
      <c r="F7" s="763"/>
      <c r="G7" s="328"/>
      <c r="H7" s="324"/>
      <c r="I7" s="758"/>
      <c r="J7" s="319"/>
      <c r="K7" s="759"/>
      <c r="L7" s="759"/>
      <c r="M7" s="759"/>
      <c r="N7" s="759"/>
      <c r="O7" s="760"/>
      <c r="P7" s="758"/>
      <c r="Q7" s="325"/>
    </row>
    <row r="8" spans="2:19" ht="13.5" thickBot="1">
      <c r="B8" s="330"/>
      <c r="C8" s="764"/>
      <c r="D8" s="327" t="s">
        <v>4</v>
      </c>
      <c r="E8" s="762" t="s">
        <v>0</v>
      </c>
      <c r="F8" s="763"/>
      <c r="G8" s="328"/>
      <c r="H8" s="324"/>
      <c r="I8" s="758"/>
      <c r="J8" s="319"/>
      <c r="K8" s="759"/>
      <c r="L8" s="759"/>
      <c r="M8" s="759"/>
      <c r="N8" s="759"/>
      <c r="O8" s="760"/>
      <c r="P8" s="758"/>
      <c r="Q8" s="325"/>
    </row>
    <row r="9" spans="2:19" ht="13.5" thickBot="1">
      <c r="B9" s="326"/>
      <c r="C9" s="761"/>
      <c r="D9" s="327" t="s">
        <v>784</v>
      </c>
      <c r="E9" s="762" t="s">
        <v>0</v>
      </c>
      <c r="F9" s="331">
        <f>'BDI Pavimentação'!B17</f>
        <v>0.15279999999999999</v>
      </c>
      <c r="G9" s="328"/>
      <c r="H9" s="324"/>
      <c r="I9" s="758"/>
      <c r="J9" s="319"/>
      <c r="K9" s="759"/>
      <c r="L9" s="759"/>
      <c r="M9" s="759"/>
      <c r="N9" s="759"/>
      <c r="O9" s="760"/>
      <c r="P9" s="758"/>
      <c r="Q9" s="325"/>
    </row>
    <row r="10" spans="2:19" ht="13.5" thickBot="1">
      <c r="B10" s="326"/>
      <c r="C10" s="761"/>
      <c r="D10" s="327" t="s">
        <v>783</v>
      </c>
      <c r="E10" s="762" t="s">
        <v>0</v>
      </c>
      <c r="F10" s="332">
        <v>0.2135</v>
      </c>
      <c r="G10" s="328"/>
      <c r="H10" s="324"/>
      <c r="I10" s="758"/>
      <c r="J10" s="319"/>
      <c r="K10" s="759"/>
      <c r="L10" s="759"/>
      <c r="M10" s="759"/>
      <c r="N10" s="759"/>
      <c r="O10" s="760"/>
      <c r="P10" s="758"/>
      <c r="Q10" s="325"/>
    </row>
    <row r="11" spans="2:19" ht="13.5" thickBot="1">
      <c r="B11" s="333"/>
      <c r="C11" s="334"/>
      <c r="D11" s="335" t="s">
        <v>162</v>
      </c>
      <c r="E11" s="336" t="s">
        <v>0</v>
      </c>
      <c r="F11" s="337"/>
      <c r="G11" s="338"/>
      <c r="H11" s="339"/>
      <c r="I11" s="340"/>
      <c r="J11" s="341"/>
      <c r="K11" s="342"/>
      <c r="L11" s="342"/>
      <c r="M11" s="342"/>
      <c r="N11" s="342"/>
      <c r="O11" s="343"/>
      <c r="P11" s="340"/>
      <c r="Q11" s="344"/>
    </row>
    <row r="12" spans="2:19" ht="25.15" customHeight="1" thickBot="1">
      <c r="B12" s="724" t="s">
        <v>180</v>
      </c>
      <c r="C12" s="725"/>
      <c r="D12" s="726"/>
      <c r="E12" s="726"/>
      <c r="F12" s="726"/>
      <c r="G12" s="727"/>
      <c r="H12" s="726"/>
      <c r="I12" s="726"/>
      <c r="J12" s="726"/>
      <c r="K12" s="726"/>
      <c r="L12" s="726"/>
      <c r="M12" s="726"/>
      <c r="N12" s="726"/>
      <c r="O12" s="726"/>
      <c r="P12" s="726"/>
      <c r="Q12" s="727"/>
    </row>
    <row r="13" spans="2:19">
      <c r="B13" s="453" t="s">
        <v>183</v>
      </c>
      <c r="C13" s="452"/>
      <c r="D13" s="345" t="s">
        <v>2100</v>
      </c>
      <c r="E13" s="346"/>
      <c r="F13" s="347" t="s">
        <v>184</v>
      </c>
      <c r="G13" s="348" t="s">
        <v>2101</v>
      </c>
      <c r="H13" s="349"/>
      <c r="I13" s="350"/>
      <c r="J13" s="350"/>
      <c r="K13" s="350"/>
      <c r="L13" s="350"/>
      <c r="M13" s="350"/>
      <c r="N13" s="350"/>
      <c r="O13" s="350"/>
      <c r="P13" s="350"/>
      <c r="Q13" s="351"/>
    </row>
    <row r="14" spans="2:19">
      <c r="B14" s="352" t="s">
        <v>854</v>
      </c>
      <c r="C14" s="353"/>
      <c r="D14" s="354" t="s">
        <v>2119</v>
      </c>
      <c r="E14" s="355"/>
      <c r="F14" s="356" t="s">
        <v>186</v>
      </c>
      <c r="G14" s="792" t="s">
        <v>626</v>
      </c>
      <c r="H14" s="357"/>
      <c r="I14" s="358"/>
      <c r="J14" s="358"/>
      <c r="K14" s="358"/>
      <c r="L14" s="358"/>
      <c r="M14" s="358"/>
      <c r="N14" s="358"/>
      <c r="O14" s="358"/>
      <c r="P14" s="358"/>
      <c r="Q14" s="359"/>
    </row>
    <row r="15" spans="2:19" ht="13.5" thickBot="1">
      <c r="B15" s="360" t="s">
        <v>979</v>
      </c>
      <c r="C15" s="361"/>
      <c r="D15" s="362" t="s">
        <v>2120</v>
      </c>
      <c r="E15" s="363"/>
      <c r="F15" s="364"/>
      <c r="G15" s="365"/>
      <c r="H15" s="366"/>
      <c r="I15" s="367"/>
      <c r="J15" s="367"/>
      <c r="K15" s="367"/>
      <c r="L15" s="367"/>
      <c r="M15" s="367"/>
      <c r="N15" s="367"/>
      <c r="O15" s="367"/>
      <c r="P15" s="367"/>
      <c r="Q15" s="368"/>
    </row>
    <row r="16" spans="2:19" ht="13.5" thickBot="1">
      <c r="B16" s="369" t="s">
        <v>468</v>
      </c>
      <c r="C16" s="370" t="s">
        <v>853</v>
      </c>
      <c r="D16" s="371" t="s">
        <v>176</v>
      </c>
      <c r="E16" s="825"/>
      <c r="F16" s="372" t="s">
        <v>5</v>
      </c>
      <c r="G16" s="373" t="s">
        <v>6</v>
      </c>
      <c r="H16" s="276" t="s">
        <v>7</v>
      </c>
      <c r="I16" s="277"/>
      <c r="J16" s="278"/>
      <c r="K16" s="277"/>
      <c r="L16" s="374" t="s">
        <v>179</v>
      </c>
      <c r="M16" s="451" t="s">
        <v>8</v>
      </c>
      <c r="N16" s="279"/>
      <c r="O16" s="279"/>
      <c r="P16" s="279"/>
      <c r="Q16" s="280"/>
      <c r="R16" s="375" t="s">
        <v>469</v>
      </c>
      <c r="S16" s="376"/>
    </row>
    <row r="17" spans="2:19" ht="37.5" thickBot="1">
      <c r="B17" s="377" t="s">
        <v>187</v>
      </c>
      <c r="C17" s="378"/>
      <c r="D17" s="379"/>
      <c r="E17" s="826"/>
      <c r="F17" s="659" t="s">
        <v>177</v>
      </c>
      <c r="G17" s="660" t="s">
        <v>178</v>
      </c>
      <c r="H17" s="661" t="s">
        <v>9</v>
      </c>
      <c r="I17" s="662" t="s">
        <v>10</v>
      </c>
      <c r="J17" s="662" t="s">
        <v>11</v>
      </c>
      <c r="K17" s="663" t="s">
        <v>12</v>
      </c>
      <c r="L17" s="664"/>
      <c r="M17" s="281" t="s">
        <v>13</v>
      </c>
      <c r="N17" s="282" t="s">
        <v>14</v>
      </c>
      <c r="O17" s="283" t="s">
        <v>957</v>
      </c>
      <c r="P17" s="284" t="s">
        <v>15</v>
      </c>
      <c r="Q17" s="285" t="s">
        <v>182</v>
      </c>
      <c r="R17" s="286" t="s">
        <v>470</v>
      </c>
      <c r="S17" s="286" t="s">
        <v>472</v>
      </c>
    </row>
    <row r="18" spans="2:19" ht="13.5" thickBot="1">
      <c r="B18" s="622" t="s">
        <v>626</v>
      </c>
      <c r="C18" s="677"/>
      <c r="D18" s="678" t="s">
        <v>494</v>
      </c>
      <c r="E18" s="679"/>
      <c r="F18" s="665"/>
      <c r="G18" s="666"/>
      <c r="H18" s="667"/>
      <c r="I18" s="619"/>
      <c r="J18" s="619"/>
      <c r="K18" s="619"/>
      <c r="L18" s="619" t="s">
        <v>777</v>
      </c>
      <c r="M18" s="382"/>
      <c r="N18" s="383"/>
      <c r="O18" s="383"/>
      <c r="P18" s="295"/>
      <c r="Q18" s="296">
        <f>SUM(P19:P67)</f>
        <v>8251</v>
      </c>
      <c r="R18" s="384" t="str">
        <f>IF(Q18&gt;0,"X","")</f>
        <v>X</v>
      </c>
      <c r="S18" s="385" t="str">
        <f>IF(R18="x","x",IF(R18="y","x",IF(R18="xy","x",IF(P18&gt;0,"x",""))))</f>
        <v>x</v>
      </c>
    </row>
    <row r="19" spans="2:19" hidden="1">
      <c r="B19" s="623" t="s">
        <v>1761</v>
      </c>
      <c r="C19" s="638" t="s">
        <v>212</v>
      </c>
      <c r="D19" s="680" t="s">
        <v>293</v>
      </c>
      <c r="E19" s="681"/>
      <c r="F19" s="668"/>
      <c r="G19" s="669"/>
      <c r="H19" s="670">
        <v>0</v>
      </c>
      <c r="I19" s="671">
        <v>35.379999999999995</v>
      </c>
      <c r="J19" s="671">
        <f>IF(ISBLANK(I19),"",SUM(H19:I19))</f>
        <v>35.379999999999995</v>
      </c>
      <c r="K19" s="640">
        <f t="shared" ref="K19:K41" si="0">IF(ISBLANK(I19),0,ROUND(J19*(1+$F$10)*(1+$F$11*E19),2))</f>
        <v>42.93</v>
      </c>
      <c r="L19" s="672" t="s">
        <v>19</v>
      </c>
      <c r="M19" s="30"/>
      <c r="N19" s="30"/>
      <c r="O19" s="386">
        <f t="shared" ref="O19:O41" si="1">IF(ISBLANK(M19),0,ROUND(K19*M19,2))</f>
        <v>0</v>
      </c>
      <c r="P19" s="287">
        <f t="shared" ref="P19:P41" si="2">IF(ISBLANK(N19),0,ROUND(M19*N19,2))</f>
        <v>0</v>
      </c>
      <c r="Q19" s="288"/>
      <c r="R19" s="243"/>
      <c r="S19" s="385" t="str">
        <f t="shared" ref="S19:S83" si="3">IF(R19="x","x",IF(R19="y","x",IF(R19="xy","x",IF(P19&gt;0,"x",""))))</f>
        <v/>
      </c>
    </row>
    <row r="20" spans="2:19" hidden="1">
      <c r="B20" s="609" t="s">
        <v>1762</v>
      </c>
      <c r="C20" s="610" t="s">
        <v>212</v>
      </c>
      <c r="D20" s="682" t="s">
        <v>294</v>
      </c>
      <c r="E20" s="683"/>
      <c r="F20" s="639"/>
      <c r="G20" s="673"/>
      <c r="H20" s="674">
        <v>0</v>
      </c>
      <c r="I20" s="671">
        <v>26.82</v>
      </c>
      <c r="J20" s="675">
        <f>IF(ISBLANK(I20),"",SUM(H20:I20))</f>
        <v>26.82</v>
      </c>
      <c r="K20" s="606">
        <f t="shared" si="0"/>
        <v>32.549999999999997</v>
      </c>
      <c r="L20" s="607" t="s">
        <v>19</v>
      </c>
      <c r="M20" s="30"/>
      <c r="N20" s="30"/>
      <c r="O20" s="386">
        <f t="shared" si="1"/>
        <v>0</v>
      </c>
      <c r="P20" s="287">
        <f t="shared" si="2"/>
        <v>0</v>
      </c>
      <c r="Q20" s="288"/>
      <c r="R20" s="243"/>
      <c r="S20" s="385" t="str">
        <f t="shared" si="3"/>
        <v/>
      </c>
    </row>
    <row r="21" spans="2:19" hidden="1">
      <c r="B21" s="609" t="s">
        <v>1763</v>
      </c>
      <c r="C21" s="610" t="s">
        <v>212</v>
      </c>
      <c r="D21" s="611" t="s">
        <v>205</v>
      </c>
      <c r="E21" s="602"/>
      <c r="F21" s="603"/>
      <c r="G21" s="673"/>
      <c r="H21" s="674"/>
      <c r="I21" s="671">
        <v>259.06</v>
      </c>
      <c r="J21" s="675">
        <f>IF(ISBLANK(I21),"",SUM(H21:I21))</f>
        <v>259.06</v>
      </c>
      <c r="K21" s="606">
        <f t="shared" si="0"/>
        <v>314.37</v>
      </c>
      <c r="L21" s="607" t="s">
        <v>16</v>
      </c>
      <c r="M21" s="30"/>
      <c r="N21" s="30"/>
      <c r="O21" s="386">
        <f t="shared" si="1"/>
        <v>0</v>
      </c>
      <c r="P21" s="287">
        <f t="shared" si="2"/>
        <v>0</v>
      </c>
      <c r="Q21" s="288"/>
      <c r="R21" s="243"/>
      <c r="S21" s="385" t="str">
        <f t="shared" si="3"/>
        <v/>
      </c>
    </row>
    <row r="22" spans="2:19" hidden="1">
      <c r="B22" s="609" t="s">
        <v>1764</v>
      </c>
      <c r="C22" s="610" t="s">
        <v>212</v>
      </c>
      <c r="D22" s="611" t="s">
        <v>204</v>
      </c>
      <c r="E22" s="602"/>
      <c r="F22" s="603"/>
      <c r="G22" s="673"/>
      <c r="H22" s="674"/>
      <c r="I22" s="671">
        <v>123.85000000000001</v>
      </c>
      <c r="J22" s="675">
        <f>IF(ISBLANK(I22),"",SUM(H22:I22))</f>
        <v>123.85000000000001</v>
      </c>
      <c r="K22" s="606">
        <f t="shared" si="0"/>
        <v>150.29</v>
      </c>
      <c r="L22" s="607" t="s">
        <v>16</v>
      </c>
      <c r="M22" s="30"/>
      <c r="N22" s="30"/>
      <c r="O22" s="287">
        <f t="shared" si="1"/>
        <v>0</v>
      </c>
      <c r="P22" s="287">
        <f t="shared" si="2"/>
        <v>0</v>
      </c>
      <c r="Q22" s="288"/>
      <c r="R22" s="243"/>
      <c r="S22" s="385" t="str">
        <f t="shared" si="3"/>
        <v/>
      </c>
    </row>
    <row r="23" spans="2:19" hidden="1">
      <c r="B23" s="609">
        <v>512000</v>
      </c>
      <c r="C23" s="610" t="s">
        <v>212</v>
      </c>
      <c r="D23" s="611" t="s">
        <v>206</v>
      </c>
      <c r="E23" s="602"/>
      <c r="F23" s="603">
        <v>1</v>
      </c>
      <c r="G23" s="604">
        <v>1.86</v>
      </c>
      <c r="H23" s="608">
        <f>IF(F23&lt;=30,(0.7*F23+1.45)*G23,((0.7*30+1.45)+0.58*(F23-30))*G23)</f>
        <v>3.9990000000000001</v>
      </c>
      <c r="I23" s="671">
        <v>50.5</v>
      </c>
      <c r="J23" s="675">
        <f t="shared" ref="J23:J32" si="4">IF(ISBLANK(I23),"",SUM(H23:I23))</f>
        <v>54.499000000000002</v>
      </c>
      <c r="K23" s="606">
        <f t="shared" si="0"/>
        <v>66.13</v>
      </c>
      <c r="L23" s="607" t="s">
        <v>16</v>
      </c>
      <c r="M23" s="30"/>
      <c r="N23" s="30"/>
      <c r="O23" s="287">
        <f t="shared" si="1"/>
        <v>0</v>
      </c>
      <c r="P23" s="287">
        <f t="shared" si="2"/>
        <v>0</v>
      </c>
      <c r="Q23" s="288"/>
      <c r="R23" s="243"/>
      <c r="S23" s="385" t="str">
        <f t="shared" si="3"/>
        <v/>
      </c>
    </row>
    <row r="24" spans="2:19" hidden="1">
      <c r="B24" s="609">
        <v>512050</v>
      </c>
      <c r="C24" s="610" t="s">
        <v>212</v>
      </c>
      <c r="D24" s="611" t="s">
        <v>755</v>
      </c>
      <c r="E24" s="602"/>
      <c r="F24" s="603">
        <v>1</v>
      </c>
      <c r="G24" s="604">
        <v>1.86</v>
      </c>
      <c r="H24" s="608">
        <f>IF(F24&lt;=30,(0.7*F24+1.45)*G24,((0.7*30+1.45)+0.58*(F24-30))*G24)</f>
        <v>3.9990000000000001</v>
      </c>
      <c r="I24" s="671">
        <v>33.1</v>
      </c>
      <c r="J24" s="675">
        <f t="shared" si="4"/>
        <v>37.099000000000004</v>
      </c>
      <c r="K24" s="606">
        <f t="shared" si="0"/>
        <v>45.02</v>
      </c>
      <c r="L24" s="607" t="s">
        <v>16</v>
      </c>
      <c r="M24" s="30"/>
      <c r="N24" s="30"/>
      <c r="O24" s="287">
        <f t="shared" si="1"/>
        <v>0</v>
      </c>
      <c r="P24" s="287">
        <f t="shared" si="2"/>
        <v>0</v>
      </c>
      <c r="Q24" s="288"/>
      <c r="R24" s="243"/>
      <c r="S24" s="385" t="str">
        <f t="shared" si="3"/>
        <v/>
      </c>
    </row>
    <row r="25" spans="2:19" hidden="1">
      <c r="B25" s="609" t="s">
        <v>519</v>
      </c>
      <c r="C25" s="610" t="s">
        <v>212</v>
      </c>
      <c r="D25" s="611" t="s">
        <v>521</v>
      </c>
      <c r="E25" s="602"/>
      <c r="F25" s="603">
        <v>10</v>
      </c>
      <c r="G25" s="604">
        <f>ROUND(0.017*2.34,4)</f>
        <v>3.9800000000000002E-2</v>
      </c>
      <c r="H25" s="608">
        <f t="shared" ref="H25:H28" si="5">IF(F25&lt;=30,(0.7*F25+1.45)*G25,((0.7*30+1.45)+0.58*(F25-30))*G25)</f>
        <v>0.33631</v>
      </c>
      <c r="I25" s="675">
        <v>16.496431999999999</v>
      </c>
      <c r="J25" s="675">
        <f t="shared" si="4"/>
        <v>16.832742</v>
      </c>
      <c r="K25" s="606">
        <f t="shared" si="0"/>
        <v>20.43</v>
      </c>
      <c r="L25" s="607" t="s">
        <v>19</v>
      </c>
      <c r="M25" s="30"/>
      <c r="N25" s="30"/>
      <c r="O25" s="287">
        <f t="shared" si="1"/>
        <v>0</v>
      </c>
      <c r="P25" s="287">
        <f t="shared" si="2"/>
        <v>0</v>
      </c>
      <c r="Q25" s="288"/>
      <c r="R25" s="243"/>
      <c r="S25" s="385" t="str">
        <f t="shared" si="3"/>
        <v/>
      </c>
    </row>
    <row r="26" spans="2:19" hidden="1">
      <c r="B26" s="609" t="s">
        <v>520</v>
      </c>
      <c r="C26" s="610" t="s">
        <v>212</v>
      </c>
      <c r="D26" s="611" t="s">
        <v>781</v>
      </c>
      <c r="E26" s="602"/>
      <c r="F26" s="603">
        <v>10</v>
      </c>
      <c r="G26" s="604">
        <f>ROUND(0.01125*2.34,4)</f>
        <v>2.63E-2</v>
      </c>
      <c r="H26" s="608">
        <f t="shared" si="5"/>
        <v>0.22223499999999999</v>
      </c>
      <c r="I26" s="675">
        <v>10.852863999999999</v>
      </c>
      <c r="J26" s="675">
        <f t="shared" si="4"/>
        <v>11.075098999999998</v>
      </c>
      <c r="K26" s="606">
        <f t="shared" si="0"/>
        <v>13.44</v>
      </c>
      <c r="L26" s="607" t="s">
        <v>19</v>
      </c>
      <c r="M26" s="30"/>
      <c r="N26" s="30"/>
      <c r="O26" s="287">
        <f t="shared" si="1"/>
        <v>0</v>
      </c>
      <c r="P26" s="287">
        <f t="shared" si="2"/>
        <v>0</v>
      </c>
      <c r="Q26" s="288"/>
      <c r="R26" s="243"/>
      <c r="S26" s="385" t="str">
        <f t="shared" si="3"/>
        <v/>
      </c>
    </row>
    <row r="27" spans="2:19" hidden="1">
      <c r="B27" s="609" t="s">
        <v>522</v>
      </c>
      <c r="C27" s="610" t="s">
        <v>212</v>
      </c>
      <c r="D27" s="611" t="s">
        <v>523</v>
      </c>
      <c r="E27" s="602"/>
      <c r="F27" s="603">
        <v>10</v>
      </c>
      <c r="G27" s="604">
        <f>ROUND(0.014*2.34,4)</f>
        <v>3.2800000000000003E-2</v>
      </c>
      <c r="H27" s="608">
        <f t="shared" si="5"/>
        <v>0.27716000000000002</v>
      </c>
      <c r="I27" s="675">
        <v>13.505891999999999</v>
      </c>
      <c r="J27" s="675">
        <f t="shared" si="4"/>
        <v>13.783052</v>
      </c>
      <c r="K27" s="606">
        <f t="shared" si="0"/>
        <v>16.73</v>
      </c>
      <c r="L27" s="607" t="s">
        <v>19</v>
      </c>
      <c r="M27" s="30"/>
      <c r="N27" s="30"/>
      <c r="O27" s="287">
        <f t="shared" si="1"/>
        <v>0</v>
      </c>
      <c r="P27" s="287">
        <f t="shared" si="2"/>
        <v>0</v>
      </c>
      <c r="Q27" s="288"/>
      <c r="R27" s="243"/>
      <c r="S27" s="385" t="str">
        <f t="shared" si="3"/>
        <v/>
      </c>
    </row>
    <row r="28" spans="2:19" hidden="1">
      <c r="B28" s="609" t="s">
        <v>1765</v>
      </c>
      <c r="C28" s="610" t="s">
        <v>517</v>
      </c>
      <c r="D28" s="611" t="s">
        <v>524</v>
      </c>
      <c r="E28" s="602"/>
      <c r="F28" s="603">
        <v>10</v>
      </c>
      <c r="G28" s="604">
        <f>ROUND(0.012*1.8,4)</f>
        <v>2.1600000000000001E-2</v>
      </c>
      <c r="H28" s="608">
        <f t="shared" si="5"/>
        <v>0.18251999999999999</v>
      </c>
      <c r="I28" s="675">
        <v>41.73</v>
      </c>
      <c r="J28" s="675">
        <f t="shared" si="4"/>
        <v>41.912519999999994</v>
      </c>
      <c r="K28" s="606">
        <f t="shared" si="0"/>
        <v>50.86</v>
      </c>
      <c r="L28" s="607" t="s">
        <v>19</v>
      </c>
      <c r="M28" s="30"/>
      <c r="N28" s="30"/>
      <c r="O28" s="287">
        <f t="shared" si="1"/>
        <v>0</v>
      </c>
      <c r="P28" s="287">
        <f t="shared" si="2"/>
        <v>0</v>
      </c>
      <c r="Q28" s="288"/>
      <c r="R28" s="243"/>
      <c r="S28" s="385" t="str">
        <f t="shared" si="3"/>
        <v/>
      </c>
    </row>
    <row r="29" spans="2:19" hidden="1">
      <c r="B29" s="609" t="s">
        <v>1766</v>
      </c>
      <c r="C29" s="610" t="s">
        <v>212</v>
      </c>
      <c r="D29" s="682" t="s">
        <v>505</v>
      </c>
      <c r="E29" s="683"/>
      <c r="F29" s="639"/>
      <c r="G29" s="673"/>
      <c r="H29" s="674"/>
      <c r="I29" s="675">
        <v>113.81</v>
      </c>
      <c r="J29" s="675">
        <f t="shared" si="4"/>
        <v>113.81</v>
      </c>
      <c r="K29" s="606">
        <f t="shared" si="0"/>
        <v>138.11000000000001</v>
      </c>
      <c r="L29" s="607" t="s">
        <v>21</v>
      </c>
      <c r="M29" s="30"/>
      <c r="N29" s="30"/>
      <c r="O29" s="287">
        <f t="shared" si="1"/>
        <v>0</v>
      </c>
      <c r="P29" s="287">
        <f t="shared" si="2"/>
        <v>0</v>
      </c>
      <c r="Q29" s="288"/>
      <c r="R29" s="243"/>
      <c r="S29" s="385" t="str">
        <f t="shared" si="3"/>
        <v/>
      </c>
    </row>
    <row r="30" spans="2:19" hidden="1">
      <c r="B30" s="609" t="s">
        <v>1767</v>
      </c>
      <c r="C30" s="610" t="s">
        <v>212</v>
      </c>
      <c r="D30" s="682" t="s">
        <v>506</v>
      </c>
      <c r="E30" s="683"/>
      <c r="F30" s="639"/>
      <c r="G30" s="673"/>
      <c r="H30" s="674"/>
      <c r="I30" s="675">
        <v>9.91</v>
      </c>
      <c r="J30" s="675">
        <f t="shared" si="4"/>
        <v>9.91</v>
      </c>
      <c r="K30" s="606">
        <f t="shared" si="0"/>
        <v>12.03</v>
      </c>
      <c r="L30" s="607" t="s">
        <v>18</v>
      </c>
      <c r="M30" s="30"/>
      <c r="N30" s="30"/>
      <c r="O30" s="287">
        <f t="shared" si="1"/>
        <v>0</v>
      </c>
      <c r="P30" s="287">
        <f t="shared" si="2"/>
        <v>0</v>
      </c>
      <c r="Q30" s="288"/>
      <c r="R30" s="243"/>
      <c r="S30" s="385" t="str">
        <f t="shared" si="3"/>
        <v/>
      </c>
    </row>
    <row r="31" spans="2:19" hidden="1">
      <c r="B31" s="609" t="s">
        <v>1768</v>
      </c>
      <c r="C31" s="610" t="s">
        <v>212</v>
      </c>
      <c r="D31" s="682" t="s">
        <v>306</v>
      </c>
      <c r="E31" s="683"/>
      <c r="F31" s="639"/>
      <c r="G31" s="673"/>
      <c r="H31" s="674"/>
      <c r="I31" s="675">
        <v>13.91</v>
      </c>
      <c r="J31" s="675">
        <f t="shared" si="4"/>
        <v>13.91</v>
      </c>
      <c r="K31" s="606">
        <f t="shared" si="0"/>
        <v>16.88</v>
      </c>
      <c r="L31" s="607" t="s">
        <v>18</v>
      </c>
      <c r="M31" s="30"/>
      <c r="N31" s="30"/>
      <c r="O31" s="287">
        <f t="shared" si="1"/>
        <v>0</v>
      </c>
      <c r="P31" s="391">
        <f t="shared" si="2"/>
        <v>0</v>
      </c>
      <c r="Q31" s="288"/>
      <c r="R31" s="243"/>
      <c r="S31" s="385" t="str">
        <f t="shared" si="3"/>
        <v/>
      </c>
    </row>
    <row r="32" spans="2:19" hidden="1">
      <c r="B32" s="609" t="s">
        <v>1769</v>
      </c>
      <c r="C32" s="610" t="s">
        <v>212</v>
      </c>
      <c r="D32" s="682" t="s">
        <v>507</v>
      </c>
      <c r="E32" s="683"/>
      <c r="F32" s="639"/>
      <c r="G32" s="673"/>
      <c r="H32" s="674"/>
      <c r="I32" s="675">
        <v>1.8800000000000001</v>
      </c>
      <c r="J32" s="675">
        <f t="shared" si="4"/>
        <v>1.8800000000000001</v>
      </c>
      <c r="K32" s="606">
        <f t="shared" si="0"/>
        <v>2.2799999999999998</v>
      </c>
      <c r="L32" s="607" t="s">
        <v>19</v>
      </c>
      <c r="M32" s="30"/>
      <c r="N32" s="30"/>
      <c r="O32" s="287">
        <f t="shared" si="1"/>
        <v>0</v>
      </c>
      <c r="P32" s="391">
        <f t="shared" si="2"/>
        <v>0</v>
      </c>
      <c r="Q32" s="288"/>
      <c r="R32" s="243"/>
      <c r="S32" s="385" t="str">
        <f t="shared" si="3"/>
        <v/>
      </c>
    </row>
    <row r="33" spans="2:20" ht="25.5">
      <c r="B33" s="609" t="s">
        <v>1014</v>
      </c>
      <c r="C33" s="610" t="s">
        <v>1770</v>
      </c>
      <c r="D33" s="611" t="s">
        <v>1015</v>
      </c>
      <c r="E33" s="602"/>
      <c r="F33" s="603"/>
      <c r="G33" s="604"/>
      <c r="H33" s="605"/>
      <c r="I33" s="675">
        <v>3199.34</v>
      </c>
      <c r="J33" s="675">
        <f>IF(ISBLANK(I33),"",SUM(H33:I33))</f>
        <v>3199.34</v>
      </c>
      <c r="K33" s="606">
        <f t="shared" si="0"/>
        <v>3882.4</v>
      </c>
      <c r="L33" s="607" t="s">
        <v>21</v>
      </c>
      <c r="M33" s="30">
        <v>1</v>
      </c>
      <c r="N33" s="30">
        <v>3882.4</v>
      </c>
      <c r="O33" s="287">
        <f t="shared" si="1"/>
        <v>3882.4</v>
      </c>
      <c r="P33" s="391">
        <f t="shared" si="2"/>
        <v>3882.4</v>
      </c>
      <c r="Q33" s="288"/>
      <c r="R33" s="384" t="s">
        <v>174</v>
      </c>
      <c r="S33" s="385" t="str">
        <f t="shared" si="3"/>
        <v>x</v>
      </c>
      <c r="T33" s="3" t="s">
        <v>174</v>
      </c>
    </row>
    <row r="34" spans="2:20" ht="25.5" hidden="1">
      <c r="B34" s="609" t="s">
        <v>1900</v>
      </c>
      <c r="C34" s="610" t="s">
        <v>1770</v>
      </c>
      <c r="D34" s="611" t="s">
        <v>1017</v>
      </c>
      <c r="E34" s="602"/>
      <c r="F34" s="603"/>
      <c r="G34" s="604"/>
      <c r="H34" s="605"/>
      <c r="I34" s="675">
        <v>1752.27</v>
      </c>
      <c r="J34" s="675">
        <f>IF(ISBLANK(I34),"",SUM(H34:I34))</f>
        <v>1752.27</v>
      </c>
      <c r="K34" s="606">
        <f t="shared" si="0"/>
        <v>2126.38</v>
      </c>
      <c r="L34" s="607" t="s">
        <v>21</v>
      </c>
      <c r="M34" s="30"/>
      <c r="N34" s="30"/>
      <c r="O34" s="287">
        <f t="shared" si="1"/>
        <v>0</v>
      </c>
      <c r="P34" s="391">
        <f t="shared" si="2"/>
        <v>0</v>
      </c>
      <c r="Q34" s="288"/>
      <c r="R34" s="392"/>
      <c r="S34" s="385" t="str">
        <f t="shared" si="3"/>
        <v/>
      </c>
    </row>
    <row r="35" spans="2:20" hidden="1">
      <c r="B35" s="609" t="s">
        <v>1016</v>
      </c>
      <c r="C35" s="610" t="s">
        <v>1770</v>
      </c>
      <c r="D35" s="611" t="s">
        <v>1771</v>
      </c>
      <c r="E35" s="602"/>
      <c r="F35" s="603"/>
      <c r="G35" s="604"/>
      <c r="H35" s="605"/>
      <c r="I35" s="675">
        <v>112.45</v>
      </c>
      <c r="J35" s="675">
        <f>IF(ISBLANK(I35),"",SUM(H35:I35))</f>
        <v>112.45</v>
      </c>
      <c r="K35" s="606">
        <f t="shared" si="0"/>
        <v>136.46</v>
      </c>
      <c r="L35" s="607" t="s">
        <v>21</v>
      </c>
      <c r="M35" s="30"/>
      <c r="N35" s="30"/>
      <c r="O35" s="287">
        <f t="shared" si="1"/>
        <v>0</v>
      </c>
      <c r="P35" s="391">
        <f t="shared" si="2"/>
        <v>0</v>
      </c>
      <c r="Q35" s="288"/>
      <c r="R35" s="392"/>
      <c r="S35" s="385" t="str">
        <f t="shared" si="3"/>
        <v/>
      </c>
    </row>
    <row r="36" spans="2:20" hidden="1">
      <c r="B36" s="609" t="s">
        <v>1772</v>
      </c>
      <c r="C36" s="610" t="s">
        <v>212</v>
      </c>
      <c r="D36" s="682" t="s">
        <v>508</v>
      </c>
      <c r="E36" s="683"/>
      <c r="F36" s="639"/>
      <c r="G36" s="673"/>
      <c r="H36" s="674"/>
      <c r="I36" s="675">
        <v>10.57</v>
      </c>
      <c r="J36" s="675">
        <f>IF(ISBLANK(I36),"",SUM(H36:I36))</f>
        <v>10.57</v>
      </c>
      <c r="K36" s="606">
        <f t="shared" si="0"/>
        <v>12.83</v>
      </c>
      <c r="L36" s="607" t="s">
        <v>19</v>
      </c>
      <c r="M36" s="30"/>
      <c r="N36" s="30"/>
      <c r="O36" s="287">
        <f t="shared" si="1"/>
        <v>0</v>
      </c>
      <c r="P36" s="391">
        <f t="shared" si="2"/>
        <v>0</v>
      </c>
      <c r="Q36" s="288"/>
      <c r="R36" s="243"/>
      <c r="S36" s="385" t="str">
        <f t="shared" si="3"/>
        <v/>
      </c>
    </row>
    <row r="37" spans="2:20" hidden="1">
      <c r="B37" s="609" t="s">
        <v>1773</v>
      </c>
      <c r="C37" s="610" t="s">
        <v>212</v>
      </c>
      <c r="D37" s="682" t="s">
        <v>292</v>
      </c>
      <c r="E37" s="683"/>
      <c r="F37" s="639"/>
      <c r="G37" s="673"/>
      <c r="H37" s="674"/>
      <c r="I37" s="675">
        <v>29.17</v>
      </c>
      <c r="J37" s="675">
        <f>IF(ISBLANK(I37),"",SUM(H37:I37))</f>
        <v>29.17</v>
      </c>
      <c r="K37" s="606">
        <f t="shared" si="0"/>
        <v>35.4</v>
      </c>
      <c r="L37" s="607" t="s">
        <v>19</v>
      </c>
      <c r="M37" s="30"/>
      <c r="N37" s="30"/>
      <c r="O37" s="287">
        <f t="shared" si="1"/>
        <v>0</v>
      </c>
      <c r="P37" s="391">
        <f t="shared" si="2"/>
        <v>0</v>
      </c>
      <c r="Q37" s="288"/>
      <c r="R37" s="243"/>
      <c r="S37" s="385" t="str">
        <f t="shared" si="3"/>
        <v/>
      </c>
    </row>
    <row r="38" spans="2:20" hidden="1">
      <c r="B38" s="609">
        <v>100981</v>
      </c>
      <c r="C38" s="610" t="s">
        <v>843</v>
      </c>
      <c r="D38" s="682" t="s">
        <v>753</v>
      </c>
      <c r="E38" s="683"/>
      <c r="F38" s="639"/>
      <c r="G38" s="673"/>
      <c r="H38" s="674"/>
      <c r="I38" s="675">
        <v>6.09</v>
      </c>
      <c r="J38" s="675">
        <f t="shared" ref="J38:J39" si="6">IF(ISBLANK(I38),"",SUM(H38:I38))</f>
        <v>6.09</v>
      </c>
      <c r="K38" s="606">
        <f t="shared" si="0"/>
        <v>7.39</v>
      </c>
      <c r="L38" s="607" t="s">
        <v>16</v>
      </c>
      <c r="M38" s="30"/>
      <c r="N38" s="30"/>
      <c r="O38" s="287">
        <f t="shared" si="1"/>
        <v>0</v>
      </c>
      <c r="P38" s="391">
        <f t="shared" si="2"/>
        <v>0</v>
      </c>
      <c r="Q38" s="288"/>
      <c r="R38" s="243"/>
      <c r="S38" s="385" t="str">
        <f t="shared" si="3"/>
        <v/>
      </c>
    </row>
    <row r="39" spans="2:20" hidden="1">
      <c r="B39" s="609" t="s">
        <v>1903</v>
      </c>
      <c r="C39" s="610" t="s">
        <v>843</v>
      </c>
      <c r="D39" s="682" t="s">
        <v>1904</v>
      </c>
      <c r="E39" s="683"/>
      <c r="F39" s="639"/>
      <c r="G39" s="673"/>
      <c r="H39" s="674"/>
      <c r="I39" s="675">
        <v>155.36000000000001</v>
      </c>
      <c r="J39" s="675">
        <f t="shared" si="6"/>
        <v>155.36000000000001</v>
      </c>
      <c r="K39" s="606">
        <f t="shared" si="0"/>
        <v>188.53</v>
      </c>
      <c r="L39" s="607" t="s">
        <v>16</v>
      </c>
      <c r="M39" s="30"/>
      <c r="N39" s="30"/>
      <c r="O39" s="287">
        <f t="shared" si="1"/>
        <v>0</v>
      </c>
      <c r="P39" s="391">
        <f t="shared" si="2"/>
        <v>0</v>
      </c>
      <c r="Q39" s="288"/>
      <c r="R39" s="243"/>
      <c r="S39" s="385" t="str">
        <f t="shared" si="3"/>
        <v/>
      </c>
    </row>
    <row r="40" spans="2:20" hidden="1">
      <c r="B40" s="609" t="s">
        <v>1905</v>
      </c>
      <c r="C40" s="610" t="s">
        <v>843</v>
      </c>
      <c r="D40" s="682" t="s">
        <v>1906</v>
      </c>
      <c r="E40" s="683"/>
      <c r="F40" s="639"/>
      <c r="G40" s="673"/>
      <c r="H40" s="674"/>
      <c r="I40" s="675">
        <v>95.35</v>
      </c>
      <c r="J40" s="675">
        <f>IF(ISBLANK(I40),"",SUM(H40:I40))</f>
        <v>95.35</v>
      </c>
      <c r="K40" s="606">
        <f t="shared" si="0"/>
        <v>115.71</v>
      </c>
      <c r="L40" s="607" t="s">
        <v>16</v>
      </c>
      <c r="M40" s="30"/>
      <c r="N40" s="30"/>
      <c r="O40" s="287">
        <f t="shared" si="1"/>
        <v>0</v>
      </c>
      <c r="P40" s="391">
        <f t="shared" si="2"/>
        <v>0</v>
      </c>
      <c r="Q40" s="288"/>
      <c r="R40" s="243"/>
      <c r="S40" s="385" t="str">
        <f t="shared" si="3"/>
        <v/>
      </c>
    </row>
    <row r="41" spans="2:20" hidden="1">
      <c r="B41" s="609" t="s">
        <v>1907</v>
      </c>
      <c r="C41" s="610" t="s">
        <v>212</v>
      </c>
      <c r="D41" s="682" t="s">
        <v>534</v>
      </c>
      <c r="E41" s="683"/>
      <c r="F41" s="639"/>
      <c r="G41" s="673"/>
      <c r="H41" s="674"/>
      <c r="I41" s="675">
        <v>154.16</v>
      </c>
      <c r="J41" s="675">
        <f>IF(ISBLANK(I41),"",SUM(H41:I41))</f>
        <v>154.16</v>
      </c>
      <c r="K41" s="606">
        <f t="shared" si="0"/>
        <v>187.07</v>
      </c>
      <c r="L41" s="607" t="s">
        <v>16</v>
      </c>
      <c r="M41" s="30"/>
      <c r="N41" s="30"/>
      <c r="O41" s="287">
        <f t="shared" si="1"/>
        <v>0</v>
      </c>
      <c r="P41" s="391">
        <f t="shared" si="2"/>
        <v>0</v>
      </c>
      <c r="Q41" s="288"/>
      <c r="R41" s="243"/>
      <c r="S41" s="385" t="str">
        <f t="shared" si="3"/>
        <v/>
      </c>
    </row>
    <row r="42" spans="2:20">
      <c r="B42" s="624" t="s">
        <v>187</v>
      </c>
      <c r="C42" s="393"/>
      <c r="D42" s="394" t="s">
        <v>495</v>
      </c>
      <c r="E42" s="395"/>
      <c r="F42" s="396"/>
      <c r="G42" s="397"/>
      <c r="H42" s="398"/>
      <c r="I42" s="399"/>
      <c r="J42" s="399"/>
      <c r="K42" s="399"/>
      <c r="L42" s="399" t="s">
        <v>777</v>
      </c>
      <c r="M42" s="398"/>
      <c r="N42" s="399"/>
      <c r="O42" s="399"/>
      <c r="P42" s="400"/>
      <c r="Q42" s="288"/>
      <c r="R42" s="384" t="str">
        <f>IF(SUM(P43:P67)&gt;0,"y","")</f>
        <v>y</v>
      </c>
      <c r="S42" s="385" t="str">
        <f t="shared" si="3"/>
        <v>x</v>
      </c>
    </row>
    <row r="43" spans="2:20" ht="26.25" thickBot="1">
      <c r="B43" s="794" t="s">
        <v>2107</v>
      </c>
      <c r="C43" s="795" t="s">
        <v>2104</v>
      </c>
      <c r="D43" s="402" t="s">
        <v>2108</v>
      </c>
      <c r="E43" s="403"/>
      <c r="F43" s="404"/>
      <c r="G43" s="405"/>
      <c r="H43" s="404"/>
      <c r="I43" s="406"/>
      <c r="J43" s="407">
        <v>600</v>
      </c>
      <c r="K43" s="408">
        <f t="shared" ref="K43:K67" si="7">IF(ISBLANK(J43),0,ROUND(J43*(1+$F$10)*(1+$F$11*E43),2))</f>
        <v>728.1</v>
      </c>
      <c r="L43" s="409" t="s">
        <v>21</v>
      </c>
      <c r="M43" s="30">
        <v>6</v>
      </c>
      <c r="N43" s="30">
        <v>728.1</v>
      </c>
      <c r="O43" s="287">
        <f t="shared" ref="O43:O67" si="8">IF(ISBLANK(M43),0,ROUND(K43*M43,2))</f>
        <v>4368.6000000000004</v>
      </c>
      <c r="P43" s="391">
        <f t="shared" ref="P43:P67" si="9">IF(ISBLANK(N43),0,ROUND(M43*N43,2))</f>
        <v>4368.6000000000004</v>
      </c>
      <c r="Q43" s="288"/>
      <c r="R43" s="243" t="s">
        <v>174</v>
      </c>
      <c r="S43" s="385" t="str">
        <f t="shared" si="3"/>
        <v>x</v>
      </c>
      <c r="T43" s="3" t="s">
        <v>174</v>
      </c>
    </row>
    <row r="44" spans="2:20" ht="13.5" hidden="1" thickBot="1">
      <c r="B44" s="625"/>
      <c r="C44" s="401"/>
      <c r="D44" s="410"/>
      <c r="E44" s="403"/>
      <c r="F44" s="411"/>
      <c r="G44" s="405"/>
      <c r="H44" s="404"/>
      <c r="I44" s="406"/>
      <c r="J44" s="407"/>
      <c r="K44" s="412">
        <f t="shared" si="7"/>
        <v>0</v>
      </c>
      <c r="L44" s="409"/>
      <c r="M44" s="30"/>
      <c r="N44" s="30"/>
      <c r="O44" s="287">
        <f>IF(ISBLANK(M44),0,ROUND(K44*M44,2))</f>
        <v>0</v>
      </c>
      <c r="P44" s="287">
        <f t="shared" si="9"/>
        <v>0</v>
      </c>
      <c r="Q44" s="288"/>
      <c r="R44" s="243"/>
      <c r="S44" s="385" t="str">
        <f t="shared" si="3"/>
        <v/>
      </c>
    </row>
    <row r="45" spans="2:20" ht="13.5" hidden="1" thickBot="1">
      <c r="B45" s="625"/>
      <c r="C45" s="401"/>
      <c r="D45" s="410"/>
      <c r="E45" s="403"/>
      <c r="F45" s="411"/>
      <c r="G45" s="405"/>
      <c r="H45" s="404"/>
      <c r="I45" s="406"/>
      <c r="J45" s="407"/>
      <c r="K45" s="412">
        <f t="shared" si="7"/>
        <v>0</v>
      </c>
      <c r="L45" s="409"/>
      <c r="M45" s="30"/>
      <c r="N45" s="30"/>
      <c r="O45" s="287">
        <f t="shared" si="8"/>
        <v>0</v>
      </c>
      <c r="P45" s="287">
        <f t="shared" si="9"/>
        <v>0</v>
      </c>
      <c r="Q45" s="288"/>
      <c r="R45" s="243"/>
      <c r="S45" s="385" t="str">
        <f t="shared" si="3"/>
        <v/>
      </c>
    </row>
    <row r="46" spans="2:20" ht="13.5" hidden="1" thickBot="1">
      <c r="B46" s="625" t="s">
        <v>187</v>
      </c>
      <c r="C46" s="401" t="s">
        <v>187</v>
      </c>
      <c r="D46" s="410"/>
      <c r="E46" s="403"/>
      <c r="F46" s="411"/>
      <c r="G46" s="405"/>
      <c r="H46" s="404"/>
      <c r="I46" s="406"/>
      <c r="J46" s="407"/>
      <c r="K46" s="412">
        <f t="shared" si="7"/>
        <v>0</v>
      </c>
      <c r="L46" s="409" t="s">
        <v>777</v>
      </c>
      <c r="M46" s="30"/>
      <c r="N46" s="30"/>
      <c r="O46" s="287">
        <f t="shared" si="8"/>
        <v>0</v>
      </c>
      <c r="P46" s="287">
        <f t="shared" si="9"/>
        <v>0</v>
      </c>
      <c r="Q46" s="288"/>
      <c r="R46" s="243"/>
      <c r="S46" s="385" t="str">
        <f t="shared" si="3"/>
        <v/>
      </c>
    </row>
    <row r="47" spans="2:20" ht="13.5" hidden="1" thickBot="1">
      <c r="B47" s="625" t="s">
        <v>187</v>
      </c>
      <c r="C47" s="401" t="s">
        <v>187</v>
      </c>
      <c r="D47" s="410"/>
      <c r="E47" s="403"/>
      <c r="F47" s="411"/>
      <c r="G47" s="405"/>
      <c r="H47" s="404"/>
      <c r="I47" s="406"/>
      <c r="J47" s="407"/>
      <c r="K47" s="412">
        <f t="shared" si="7"/>
        <v>0</v>
      </c>
      <c r="L47" s="409" t="s">
        <v>777</v>
      </c>
      <c r="M47" s="30"/>
      <c r="N47" s="30"/>
      <c r="O47" s="287">
        <f t="shared" si="8"/>
        <v>0</v>
      </c>
      <c r="P47" s="287">
        <f t="shared" si="9"/>
        <v>0</v>
      </c>
      <c r="Q47" s="288"/>
      <c r="R47" s="243"/>
      <c r="S47" s="385" t="str">
        <f t="shared" si="3"/>
        <v/>
      </c>
    </row>
    <row r="48" spans="2:20" ht="13.5" hidden="1" thickBot="1">
      <c r="B48" s="625" t="s">
        <v>187</v>
      </c>
      <c r="C48" s="401" t="s">
        <v>187</v>
      </c>
      <c r="D48" s="410"/>
      <c r="E48" s="403"/>
      <c r="F48" s="411"/>
      <c r="G48" s="405"/>
      <c r="H48" s="404"/>
      <c r="I48" s="406"/>
      <c r="J48" s="407"/>
      <c r="K48" s="412">
        <f t="shared" si="7"/>
        <v>0</v>
      </c>
      <c r="L48" s="409" t="s">
        <v>777</v>
      </c>
      <c r="M48" s="30"/>
      <c r="N48" s="30"/>
      <c r="O48" s="287">
        <f t="shared" si="8"/>
        <v>0</v>
      </c>
      <c r="P48" s="287">
        <f t="shared" si="9"/>
        <v>0</v>
      </c>
      <c r="Q48" s="288"/>
      <c r="R48" s="243"/>
      <c r="S48" s="385" t="str">
        <f t="shared" si="3"/>
        <v/>
      </c>
    </row>
    <row r="49" spans="2:19" ht="13.5" hidden="1" thickBot="1">
      <c r="B49" s="625" t="s">
        <v>187</v>
      </c>
      <c r="C49" s="401" t="s">
        <v>187</v>
      </c>
      <c r="D49" s="410"/>
      <c r="E49" s="403"/>
      <c r="F49" s="411"/>
      <c r="G49" s="405"/>
      <c r="H49" s="404"/>
      <c r="I49" s="406"/>
      <c r="J49" s="407"/>
      <c r="K49" s="412">
        <f t="shared" si="7"/>
        <v>0</v>
      </c>
      <c r="L49" s="409" t="s">
        <v>777</v>
      </c>
      <c r="M49" s="30"/>
      <c r="N49" s="30"/>
      <c r="O49" s="287">
        <f t="shared" si="8"/>
        <v>0</v>
      </c>
      <c r="P49" s="287">
        <f t="shared" si="9"/>
        <v>0</v>
      </c>
      <c r="Q49" s="288"/>
      <c r="R49" s="243"/>
      <c r="S49" s="385" t="str">
        <f t="shared" si="3"/>
        <v/>
      </c>
    </row>
    <row r="50" spans="2:19" ht="13.5" hidden="1" thickBot="1">
      <c r="B50" s="625" t="s">
        <v>187</v>
      </c>
      <c r="C50" s="401" t="s">
        <v>187</v>
      </c>
      <c r="D50" s="410"/>
      <c r="E50" s="403"/>
      <c r="F50" s="411"/>
      <c r="G50" s="405"/>
      <c r="H50" s="404"/>
      <c r="I50" s="406"/>
      <c r="J50" s="407"/>
      <c r="K50" s="412">
        <f t="shared" si="7"/>
        <v>0</v>
      </c>
      <c r="L50" s="409" t="s">
        <v>777</v>
      </c>
      <c r="M50" s="30"/>
      <c r="N50" s="30"/>
      <c r="O50" s="287">
        <f t="shared" si="8"/>
        <v>0</v>
      </c>
      <c r="P50" s="287">
        <f t="shared" si="9"/>
        <v>0</v>
      </c>
      <c r="Q50" s="288"/>
      <c r="R50" s="243"/>
      <c r="S50" s="385" t="str">
        <f t="shared" si="3"/>
        <v/>
      </c>
    </row>
    <row r="51" spans="2:19" ht="13.5" hidden="1" thickBot="1">
      <c r="B51" s="625" t="s">
        <v>187</v>
      </c>
      <c r="C51" s="401" t="s">
        <v>187</v>
      </c>
      <c r="D51" s="410"/>
      <c r="E51" s="403"/>
      <c r="F51" s="411"/>
      <c r="G51" s="405"/>
      <c r="H51" s="404"/>
      <c r="I51" s="406"/>
      <c r="J51" s="407"/>
      <c r="K51" s="412">
        <f t="shared" si="7"/>
        <v>0</v>
      </c>
      <c r="L51" s="409" t="s">
        <v>777</v>
      </c>
      <c r="M51" s="30"/>
      <c r="N51" s="30"/>
      <c r="O51" s="287">
        <f t="shared" si="8"/>
        <v>0</v>
      </c>
      <c r="P51" s="287">
        <f t="shared" si="9"/>
        <v>0</v>
      </c>
      <c r="Q51" s="288"/>
      <c r="R51" s="243"/>
      <c r="S51" s="385" t="str">
        <f t="shared" si="3"/>
        <v/>
      </c>
    </row>
    <row r="52" spans="2:19" ht="13.5" hidden="1" thickBot="1">
      <c r="B52" s="625" t="s">
        <v>187</v>
      </c>
      <c r="C52" s="401" t="s">
        <v>187</v>
      </c>
      <c r="D52" s="410"/>
      <c r="E52" s="403"/>
      <c r="F52" s="411"/>
      <c r="G52" s="405"/>
      <c r="H52" s="404"/>
      <c r="I52" s="406"/>
      <c r="J52" s="407"/>
      <c r="K52" s="412">
        <f t="shared" si="7"/>
        <v>0</v>
      </c>
      <c r="L52" s="409" t="s">
        <v>777</v>
      </c>
      <c r="M52" s="30"/>
      <c r="N52" s="30"/>
      <c r="O52" s="287">
        <f t="shared" si="8"/>
        <v>0</v>
      </c>
      <c r="P52" s="287">
        <f t="shared" si="9"/>
        <v>0</v>
      </c>
      <c r="Q52" s="288"/>
      <c r="R52" s="243"/>
      <c r="S52" s="385" t="str">
        <f t="shared" si="3"/>
        <v/>
      </c>
    </row>
    <row r="53" spans="2:19" ht="13.5" hidden="1" thickBot="1">
      <c r="B53" s="625" t="s">
        <v>187</v>
      </c>
      <c r="C53" s="401" t="s">
        <v>187</v>
      </c>
      <c r="D53" s="410"/>
      <c r="E53" s="403"/>
      <c r="F53" s="411"/>
      <c r="G53" s="405"/>
      <c r="H53" s="404"/>
      <c r="I53" s="406"/>
      <c r="J53" s="407"/>
      <c r="K53" s="412">
        <f t="shared" si="7"/>
        <v>0</v>
      </c>
      <c r="L53" s="409" t="s">
        <v>777</v>
      </c>
      <c r="M53" s="30"/>
      <c r="N53" s="30"/>
      <c r="O53" s="287">
        <f t="shared" si="8"/>
        <v>0</v>
      </c>
      <c r="P53" s="287">
        <f t="shared" si="9"/>
        <v>0</v>
      </c>
      <c r="Q53" s="288"/>
      <c r="R53" s="243"/>
      <c r="S53" s="385" t="str">
        <f t="shared" si="3"/>
        <v/>
      </c>
    </row>
    <row r="54" spans="2:19" ht="13.5" hidden="1" thickBot="1">
      <c r="B54" s="625" t="s">
        <v>187</v>
      </c>
      <c r="C54" s="401" t="s">
        <v>187</v>
      </c>
      <c r="D54" s="410"/>
      <c r="E54" s="403"/>
      <c r="F54" s="411"/>
      <c r="G54" s="405"/>
      <c r="H54" s="404"/>
      <c r="I54" s="406"/>
      <c r="J54" s="407"/>
      <c r="K54" s="412">
        <f t="shared" si="7"/>
        <v>0</v>
      </c>
      <c r="L54" s="409" t="s">
        <v>777</v>
      </c>
      <c r="M54" s="30"/>
      <c r="N54" s="30"/>
      <c r="O54" s="287">
        <f t="shared" si="8"/>
        <v>0</v>
      </c>
      <c r="P54" s="287">
        <f t="shared" si="9"/>
        <v>0</v>
      </c>
      <c r="Q54" s="288"/>
      <c r="R54" s="243"/>
      <c r="S54" s="385" t="str">
        <f t="shared" si="3"/>
        <v/>
      </c>
    </row>
    <row r="55" spans="2:19" ht="13.5" hidden="1" thickBot="1">
      <c r="B55" s="625" t="s">
        <v>187</v>
      </c>
      <c r="C55" s="401" t="s">
        <v>187</v>
      </c>
      <c r="D55" s="410"/>
      <c r="E55" s="403"/>
      <c r="F55" s="411"/>
      <c r="G55" s="405"/>
      <c r="H55" s="404"/>
      <c r="I55" s="406"/>
      <c r="J55" s="407"/>
      <c r="K55" s="412">
        <f t="shared" si="7"/>
        <v>0</v>
      </c>
      <c r="L55" s="409" t="s">
        <v>777</v>
      </c>
      <c r="M55" s="30"/>
      <c r="N55" s="30"/>
      <c r="O55" s="287">
        <f t="shared" si="8"/>
        <v>0</v>
      </c>
      <c r="P55" s="287">
        <f t="shared" si="9"/>
        <v>0</v>
      </c>
      <c r="Q55" s="288"/>
      <c r="R55" s="243"/>
      <c r="S55" s="385" t="str">
        <f t="shared" si="3"/>
        <v/>
      </c>
    </row>
    <row r="56" spans="2:19" ht="13.5" hidden="1" thickBot="1">
      <c r="B56" s="625" t="s">
        <v>187</v>
      </c>
      <c r="C56" s="401" t="s">
        <v>187</v>
      </c>
      <c r="D56" s="410"/>
      <c r="E56" s="403"/>
      <c r="F56" s="411"/>
      <c r="G56" s="405"/>
      <c r="H56" s="404"/>
      <c r="I56" s="406"/>
      <c r="J56" s="407"/>
      <c r="K56" s="412">
        <f t="shared" si="7"/>
        <v>0</v>
      </c>
      <c r="L56" s="409" t="s">
        <v>777</v>
      </c>
      <c r="M56" s="30"/>
      <c r="N56" s="30"/>
      <c r="O56" s="287">
        <f t="shared" si="8"/>
        <v>0</v>
      </c>
      <c r="P56" s="287">
        <f t="shared" si="9"/>
        <v>0</v>
      </c>
      <c r="Q56" s="288"/>
      <c r="R56" s="243"/>
      <c r="S56" s="385" t="str">
        <f t="shared" si="3"/>
        <v/>
      </c>
    </row>
    <row r="57" spans="2:19" ht="13.5" hidden="1" thickBot="1">
      <c r="B57" s="625" t="s">
        <v>187</v>
      </c>
      <c r="C57" s="401" t="s">
        <v>187</v>
      </c>
      <c r="D57" s="410"/>
      <c r="E57" s="403"/>
      <c r="F57" s="411"/>
      <c r="G57" s="405"/>
      <c r="H57" s="404"/>
      <c r="I57" s="406"/>
      <c r="J57" s="407"/>
      <c r="K57" s="412">
        <f t="shared" si="7"/>
        <v>0</v>
      </c>
      <c r="L57" s="409" t="s">
        <v>777</v>
      </c>
      <c r="M57" s="30"/>
      <c r="N57" s="30"/>
      <c r="O57" s="287">
        <f t="shared" si="8"/>
        <v>0</v>
      </c>
      <c r="P57" s="287">
        <f t="shared" si="9"/>
        <v>0</v>
      </c>
      <c r="Q57" s="288"/>
      <c r="R57" s="243"/>
      <c r="S57" s="385" t="str">
        <f t="shared" si="3"/>
        <v/>
      </c>
    </row>
    <row r="58" spans="2:19" ht="13.5" hidden="1" thickBot="1">
      <c r="B58" s="625" t="s">
        <v>187</v>
      </c>
      <c r="C58" s="401" t="s">
        <v>187</v>
      </c>
      <c r="D58" s="410"/>
      <c r="E58" s="403"/>
      <c r="F58" s="411"/>
      <c r="G58" s="405"/>
      <c r="H58" s="404"/>
      <c r="I58" s="406"/>
      <c r="J58" s="407"/>
      <c r="K58" s="412">
        <f t="shared" si="7"/>
        <v>0</v>
      </c>
      <c r="L58" s="409" t="s">
        <v>777</v>
      </c>
      <c r="M58" s="30"/>
      <c r="N58" s="30"/>
      <c r="O58" s="287">
        <f t="shared" si="8"/>
        <v>0</v>
      </c>
      <c r="P58" s="287">
        <f t="shared" si="9"/>
        <v>0</v>
      </c>
      <c r="Q58" s="288"/>
      <c r="R58" s="243"/>
      <c r="S58" s="385" t="str">
        <f t="shared" si="3"/>
        <v/>
      </c>
    </row>
    <row r="59" spans="2:19" ht="13.5" hidden="1" thickBot="1">
      <c r="B59" s="625" t="s">
        <v>187</v>
      </c>
      <c r="C59" s="401" t="s">
        <v>187</v>
      </c>
      <c r="D59" s="410"/>
      <c r="E59" s="403"/>
      <c r="F59" s="411"/>
      <c r="G59" s="405"/>
      <c r="H59" s="404"/>
      <c r="I59" s="406"/>
      <c r="J59" s="407"/>
      <c r="K59" s="412">
        <f t="shared" si="7"/>
        <v>0</v>
      </c>
      <c r="L59" s="409" t="s">
        <v>777</v>
      </c>
      <c r="M59" s="30"/>
      <c r="N59" s="30"/>
      <c r="O59" s="287">
        <f t="shared" si="8"/>
        <v>0</v>
      </c>
      <c r="P59" s="287">
        <f t="shared" si="9"/>
        <v>0</v>
      </c>
      <c r="Q59" s="288"/>
      <c r="R59" s="243"/>
      <c r="S59" s="385" t="str">
        <f t="shared" si="3"/>
        <v/>
      </c>
    </row>
    <row r="60" spans="2:19" ht="13.5" hidden="1" thickBot="1">
      <c r="B60" s="625" t="s">
        <v>187</v>
      </c>
      <c r="C60" s="401" t="s">
        <v>187</v>
      </c>
      <c r="D60" s="410"/>
      <c r="E60" s="403"/>
      <c r="F60" s="411"/>
      <c r="G60" s="405"/>
      <c r="H60" s="404"/>
      <c r="I60" s="406"/>
      <c r="J60" s="407"/>
      <c r="K60" s="412">
        <f t="shared" si="7"/>
        <v>0</v>
      </c>
      <c r="L60" s="409" t="s">
        <v>777</v>
      </c>
      <c r="M60" s="30"/>
      <c r="N60" s="30"/>
      <c r="O60" s="287">
        <f t="shared" si="8"/>
        <v>0</v>
      </c>
      <c r="P60" s="287">
        <f t="shared" si="9"/>
        <v>0</v>
      </c>
      <c r="Q60" s="288"/>
      <c r="R60" s="243"/>
      <c r="S60" s="385" t="str">
        <f t="shared" si="3"/>
        <v/>
      </c>
    </row>
    <row r="61" spans="2:19" ht="13.5" hidden="1" thickBot="1">
      <c r="B61" s="625" t="s">
        <v>187</v>
      </c>
      <c r="C61" s="401" t="s">
        <v>187</v>
      </c>
      <c r="D61" s="410"/>
      <c r="E61" s="403"/>
      <c r="F61" s="411"/>
      <c r="G61" s="405"/>
      <c r="H61" s="404"/>
      <c r="I61" s="406"/>
      <c r="J61" s="407"/>
      <c r="K61" s="412">
        <f t="shared" si="7"/>
        <v>0</v>
      </c>
      <c r="L61" s="409" t="s">
        <v>777</v>
      </c>
      <c r="M61" s="30"/>
      <c r="N61" s="30"/>
      <c r="O61" s="287">
        <f t="shared" si="8"/>
        <v>0</v>
      </c>
      <c r="P61" s="287">
        <f t="shared" si="9"/>
        <v>0</v>
      </c>
      <c r="Q61" s="288"/>
      <c r="R61" s="243"/>
      <c r="S61" s="385" t="str">
        <f t="shared" si="3"/>
        <v/>
      </c>
    </row>
    <row r="62" spans="2:19" ht="13.5" hidden="1" thickBot="1">
      <c r="B62" s="625" t="s">
        <v>187</v>
      </c>
      <c r="C62" s="401" t="s">
        <v>187</v>
      </c>
      <c r="D62" s="410"/>
      <c r="E62" s="403"/>
      <c r="F62" s="411"/>
      <c r="G62" s="405"/>
      <c r="H62" s="404"/>
      <c r="I62" s="406"/>
      <c r="J62" s="407"/>
      <c r="K62" s="412">
        <f t="shared" si="7"/>
        <v>0</v>
      </c>
      <c r="L62" s="409" t="s">
        <v>777</v>
      </c>
      <c r="M62" s="30"/>
      <c r="N62" s="30"/>
      <c r="O62" s="287">
        <f t="shared" si="8"/>
        <v>0</v>
      </c>
      <c r="P62" s="287">
        <f t="shared" si="9"/>
        <v>0</v>
      </c>
      <c r="Q62" s="288"/>
      <c r="R62" s="243"/>
      <c r="S62" s="385" t="str">
        <f t="shared" si="3"/>
        <v/>
      </c>
    </row>
    <row r="63" spans="2:19" ht="13.5" hidden="1" thickBot="1">
      <c r="B63" s="625" t="s">
        <v>187</v>
      </c>
      <c r="C63" s="401" t="s">
        <v>187</v>
      </c>
      <c r="D63" s="410"/>
      <c r="E63" s="403"/>
      <c r="F63" s="411"/>
      <c r="G63" s="405"/>
      <c r="H63" s="404"/>
      <c r="I63" s="406"/>
      <c r="J63" s="407"/>
      <c r="K63" s="412">
        <f t="shared" si="7"/>
        <v>0</v>
      </c>
      <c r="L63" s="409" t="s">
        <v>777</v>
      </c>
      <c r="M63" s="30"/>
      <c r="N63" s="30"/>
      <c r="O63" s="287">
        <f t="shared" si="8"/>
        <v>0</v>
      </c>
      <c r="P63" s="287">
        <f t="shared" si="9"/>
        <v>0</v>
      </c>
      <c r="Q63" s="288"/>
      <c r="R63" s="243"/>
      <c r="S63" s="385" t="str">
        <f t="shared" si="3"/>
        <v/>
      </c>
    </row>
    <row r="64" spans="2:19" ht="13.5" hidden="1" thickBot="1">
      <c r="B64" s="625" t="s">
        <v>187</v>
      </c>
      <c r="C64" s="401" t="s">
        <v>187</v>
      </c>
      <c r="D64" s="410"/>
      <c r="E64" s="403"/>
      <c r="F64" s="411"/>
      <c r="G64" s="405"/>
      <c r="H64" s="404"/>
      <c r="I64" s="406"/>
      <c r="J64" s="407"/>
      <c r="K64" s="412">
        <f t="shared" si="7"/>
        <v>0</v>
      </c>
      <c r="L64" s="409" t="s">
        <v>777</v>
      </c>
      <c r="M64" s="30"/>
      <c r="N64" s="30"/>
      <c r="O64" s="287">
        <f t="shared" si="8"/>
        <v>0</v>
      </c>
      <c r="P64" s="287">
        <f t="shared" si="9"/>
        <v>0</v>
      </c>
      <c r="Q64" s="288"/>
      <c r="R64" s="243"/>
      <c r="S64" s="385" t="str">
        <f t="shared" si="3"/>
        <v/>
      </c>
    </row>
    <row r="65" spans="2:20" ht="13.5" hidden="1" thickBot="1">
      <c r="B65" s="625" t="s">
        <v>187</v>
      </c>
      <c r="C65" s="401" t="s">
        <v>187</v>
      </c>
      <c r="D65" s="410"/>
      <c r="E65" s="403"/>
      <c r="F65" s="411"/>
      <c r="G65" s="405"/>
      <c r="H65" s="404"/>
      <c r="I65" s="406"/>
      <c r="J65" s="407"/>
      <c r="K65" s="412">
        <f t="shared" si="7"/>
        <v>0</v>
      </c>
      <c r="L65" s="409" t="s">
        <v>777</v>
      </c>
      <c r="M65" s="30"/>
      <c r="N65" s="30"/>
      <c r="O65" s="287">
        <f t="shared" si="8"/>
        <v>0</v>
      </c>
      <c r="P65" s="287">
        <f t="shared" si="9"/>
        <v>0</v>
      </c>
      <c r="Q65" s="288"/>
      <c r="R65" s="243"/>
      <c r="S65" s="385" t="str">
        <f t="shared" si="3"/>
        <v/>
      </c>
    </row>
    <row r="66" spans="2:20" ht="13.5" hidden="1" thickBot="1">
      <c r="B66" s="625" t="s">
        <v>187</v>
      </c>
      <c r="C66" s="401" t="s">
        <v>187</v>
      </c>
      <c r="D66" s="410"/>
      <c r="E66" s="403"/>
      <c r="F66" s="411"/>
      <c r="G66" s="405"/>
      <c r="H66" s="404"/>
      <c r="I66" s="406"/>
      <c r="J66" s="407"/>
      <c r="K66" s="412">
        <f t="shared" si="7"/>
        <v>0</v>
      </c>
      <c r="L66" s="409" t="s">
        <v>777</v>
      </c>
      <c r="M66" s="30"/>
      <c r="N66" s="30"/>
      <c r="O66" s="287">
        <f t="shared" si="8"/>
        <v>0</v>
      </c>
      <c r="P66" s="287">
        <f t="shared" si="9"/>
        <v>0</v>
      </c>
      <c r="Q66" s="288"/>
      <c r="R66" s="243"/>
      <c r="S66" s="385" t="str">
        <f t="shared" si="3"/>
        <v/>
      </c>
    </row>
    <row r="67" spans="2:20" ht="13.5" hidden="1" thickBot="1">
      <c r="B67" s="626" t="s">
        <v>187</v>
      </c>
      <c r="C67" s="413" t="s">
        <v>187</v>
      </c>
      <c r="D67" s="414"/>
      <c r="E67" s="415"/>
      <c r="F67" s="416"/>
      <c r="G67" s="417"/>
      <c r="H67" s="418"/>
      <c r="I67" s="419"/>
      <c r="J67" s="420"/>
      <c r="K67" s="421">
        <f t="shared" si="7"/>
        <v>0</v>
      </c>
      <c r="L67" s="422" t="s">
        <v>777</v>
      </c>
      <c r="M67" s="30"/>
      <c r="N67" s="30"/>
      <c r="O67" s="423">
        <f t="shared" si="8"/>
        <v>0</v>
      </c>
      <c r="P67" s="423">
        <f t="shared" si="9"/>
        <v>0</v>
      </c>
      <c r="Q67" s="288"/>
      <c r="R67" s="243"/>
      <c r="S67" s="385" t="str">
        <f t="shared" si="3"/>
        <v/>
      </c>
    </row>
    <row r="68" spans="2:20" ht="13.5" thickBot="1">
      <c r="B68" s="622" t="s">
        <v>189</v>
      </c>
      <c r="C68" s="677"/>
      <c r="D68" s="678" t="s">
        <v>490</v>
      </c>
      <c r="E68" s="679"/>
      <c r="F68" s="665"/>
      <c r="G68" s="666"/>
      <c r="H68" s="667"/>
      <c r="I68" s="619"/>
      <c r="J68" s="619"/>
      <c r="K68" s="619"/>
      <c r="L68" s="619" t="s">
        <v>777</v>
      </c>
      <c r="M68" s="382"/>
      <c r="N68" s="383"/>
      <c r="O68" s="383"/>
      <c r="P68" s="295"/>
      <c r="Q68" s="296">
        <f>SUM(P69:P112)</f>
        <v>46924.05</v>
      </c>
      <c r="R68" s="384" t="str">
        <f>IF(Q68&gt;0,"X","")</f>
        <v>X</v>
      </c>
      <c r="S68" s="385" t="str">
        <f t="shared" si="3"/>
        <v>x</v>
      </c>
    </row>
    <row r="69" spans="2:20" hidden="1">
      <c r="B69" s="623" t="s">
        <v>1796</v>
      </c>
      <c r="C69" s="638" t="s">
        <v>212</v>
      </c>
      <c r="D69" s="720" t="s">
        <v>203</v>
      </c>
      <c r="E69" s="709"/>
      <c r="F69" s="710">
        <v>20</v>
      </c>
      <c r="G69" s="722">
        <v>1.73</v>
      </c>
      <c r="H69" s="608">
        <f>IF(F69&lt;=30,(0.7*F69+1.45)*G69,((0.7*30+1.45)+0.58*(F69-30))*G69)</f>
        <v>26.728499999999997</v>
      </c>
      <c r="I69" s="671">
        <v>48.71</v>
      </c>
      <c r="J69" s="671">
        <f t="shared" ref="J69:J86" si="10">IF(ISBLANK(I69),"",SUM(H69:I69))</f>
        <v>75.438500000000005</v>
      </c>
      <c r="K69" s="640">
        <f t="shared" ref="K69:K86" si="11">IF(ISBLANK(I69),0,ROUND(J69*(1+$F$10)*(1+$F$11*E69),2))</f>
        <v>91.54</v>
      </c>
      <c r="L69" s="672" t="s">
        <v>16</v>
      </c>
      <c r="M69" s="30"/>
      <c r="N69" s="30"/>
      <c r="O69" s="386">
        <f t="shared" ref="O69:O86" si="12">IF(ISBLANK(M69),0,ROUND(K69*M69,2))</f>
        <v>0</v>
      </c>
      <c r="P69" s="287">
        <f t="shared" ref="P69:P86" si="13">IF(ISBLANK(N69),0,ROUND(M69*N69,2))</f>
        <v>0</v>
      </c>
      <c r="Q69" s="288"/>
      <c r="R69" s="243"/>
      <c r="S69" s="385" t="str">
        <f t="shared" si="3"/>
        <v/>
      </c>
    </row>
    <row r="70" spans="2:20" hidden="1">
      <c r="B70" s="609">
        <v>401200</v>
      </c>
      <c r="C70" s="610" t="s">
        <v>212</v>
      </c>
      <c r="D70" s="611" t="s">
        <v>200</v>
      </c>
      <c r="E70" s="602"/>
      <c r="F70" s="603"/>
      <c r="G70" s="604"/>
      <c r="H70" s="605"/>
      <c r="I70" s="671">
        <v>1.03</v>
      </c>
      <c r="J70" s="675">
        <f t="shared" si="10"/>
        <v>1.03</v>
      </c>
      <c r="K70" s="606">
        <f t="shared" si="11"/>
        <v>1.25</v>
      </c>
      <c r="L70" s="607" t="s">
        <v>16</v>
      </c>
      <c r="M70" s="30"/>
      <c r="N70" s="30"/>
      <c r="O70" s="386">
        <f t="shared" si="12"/>
        <v>0</v>
      </c>
      <c r="P70" s="287">
        <f t="shared" si="13"/>
        <v>0</v>
      </c>
      <c r="Q70" s="288"/>
      <c r="R70" s="243"/>
      <c r="S70" s="385" t="str">
        <f t="shared" si="3"/>
        <v/>
      </c>
    </row>
    <row r="71" spans="2:20" hidden="1">
      <c r="B71" s="609">
        <v>401000</v>
      </c>
      <c r="C71" s="610" t="s">
        <v>212</v>
      </c>
      <c r="D71" s="611" t="s">
        <v>202</v>
      </c>
      <c r="E71" s="602"/>
      <c r="F71" s="603"/>
      <c r="G71" s="604"/>
      <c r="H71" s="605"/>
      <c r="I71" s="671">
        <v>4.3099999999999996</v>
      </c>
      <c r="J71" s="675">
        <f t="shared" si="10"/>
        <v>4.3099999999999996</v>
      </c>
      <c r="K71" s="606">
        <f t="shared" si="11"/>
        <v>5.23</v>
      </c>
      <c r="L71" s="607" t="s">
        <v>16</v>
      </c>
      <c r="M71" s="30"/>
      <c r="N71" s="30"/>
      <c r="O71" s="386">
        <f t="shared" si="12"/>
        <v>0</v>
      </c>
      <c r="P71" s="287">
        <f t="shared" si="13"/>
        <v>0</v>
      </c>
      <c r="Q71" s="288"/>
      <c r="R71" s="243"/>
      <c r="S71" s="385" t="str">
        <f t="shared" si="3"/>
        <v/>
      </c>
    </row>
    <row r="72" spans="2:20" hidden="1">
      <c r="B72" s="609">
        <v>401950</v>
      </c>
      <c r="C72" s="610" t="s">
        <v>212</v>
      </c>
      <c r="D72" s="611" t="s">
        <v>201</v>
      </c>
      <c r="E72" s="602"/>
      <c r="F72" s="603"/>
      <c r="G72" s="604"/>
      <c r="H72" s="605"/>
      <c r="I72" s="671">
        <v>3.67</v>
      </c>
      <c r="J72" s="675">
        <f t="shared" si="10"/>
        <v>3.67</v>
      </c>
      <c r="K72" s="606">
        <f t="shared" si="11"/>
        <v>4.45</v>
      </c>
      <c r="L72" s="607" t="s">
        <v>16</v>
      </c>
      <c r="M72" s="30"/>
      <c r="N72" s="30"/>
      <c r="O72" s="287">
        <f t="shared" si="12"/>
        <v>0</v>
      </c>
      <c r="P72" s="287">
        <f t="shared" si="13"/>
        <v>0</v>
      </c>
      <c r="Q72" s="288"/>
      <c r="R72" s="243"/>
      <c r="S72" s="385" t="str">
        <f t="shared" si="3"/>
        <v/>
      </c>
    </row>
    <row r="73" spans="2:20" hidden="1">
      <c r="B73" s="609">
        <v>400000</v>
      </c>
      <c r="C73" s="610" t="s">
        <v>212</v>
      </c>
      <c r="D73" s="611" t="s">
        <v>191</v>
      </c>
      <c r="E73" s="602"/>
      <c r="F73" s="603"/>
      <c r="G73" s="604"/>
      <c r="H73" s="605"/>
      <c r="I73" s="671">
        <v>0.76</v>
      </c>
      <c r="J73" s="675">
        <f t="shared" si="10"/>
        <v>0.76</v>
      </c>
      <c r="K73" s="606">
        <f t="shared" si="11"/>
        <v>0.92</v>
      </c>
      <c r="L73" s="607" t="s">
        <v>18</v>
      </c>
      <c r="M73" s="30"/>
      <c r="N73" s="30"/>
      <c r="O73" s="287">
        <f t="shared" si="12"/>
        <v>0</v>
      </c>
      <c r="P73" s="287">
        <f t="shared" si="13"/>
        <v>0</v>
      </c>
      <c r="Q73" s="288"/>
      <c r="R73" s="384"/>
      <c r="S73" s="385" t="str">
        <f t="shared" si="3"/>
        <v/>
      </c>
    </row>
    <row r="74" spans="2:20" hidden="1">
      <c r="B74" s="609">
        <v>400300</v>
      </c>
      <c r="C74" s="610" t="s">
        <v>212</v>
      </c>
      <c r="D74" s="611" t="s">
        <v>192</v>
      </c>
      <c r="E74" s="602"/>
      <c r="F74" s="603"/>
      <c r="G74" s="604"/>
      <c r="H74" s="605"/>
      <c r="I74" s="671">
        <v>34.01</v>
      </c>
      <c r="J74" s="675">
        <f t="shared" si="10"/>
        <v>34.01</v>
      </c>
      <c r="K74" s="606">
        <f t="shared" si="11"/>
        <v>41.27</v>
      </c>
      <c r="L74" s="607" t="s">
        <v>21</v>
      </c>
      <c r="M74" s="30"/>
      <c r="N74" s="30"/>
      <c r="O74" s="287">
        <f t="shared" si="12"/>
        <v>0</v>
      </c>
      <c r="P74" s="287">
        <f t="shared" si="13"/>
        <v>0</v>
      </c>
      <c r="Q74" s="288"/>
      <c r="R74" s="384"/>
      <c r="S74" s="385" t="str">
        <f t="shared" si="3"/>
        <v/>
      </c>
    </row>
    <row r="75" spans="2:20" hidden="1">
      <c r="B75" s="609" t="s">
        <v>1774</v>
      </c>
      <c r="C75" s="610" t="s">
        <v>212</v>
      </c>
      <c r="D75" s="611" t="s">
        <v>512</v>
      </c>
      <c r="E75" s="602"/>
      <c r="F75" s="603"/>
      <c r="G75" s="604"/>
      <c r="H75" s="605"/>
      <c r="I75" s="671">
        <v>0.83</v>
      </c>
      <c r="J75" s="675">
        <f t="shared" si="10"/>
        <v>0.83</v>
      </c>
      <c r="K75" s="606">
        <f t="shared" si="11"/>
        <v>1.01</v>
      </c>
      <c r="L75" s="607" t="s">
        <v>16</v>
      </c>
      <c r="M75" s="30"/>
      <c r="N75" s="30"/>
      <c r="O75" s="287">
        <f t="shared" si="12"/>
        <v>0</v>
      </c>
      <c r="P75" s="287">
        <f t="shared" si="13"/>
        <v>0</v>
      </c>
      <c r="Q75" s="288"/>
      <c r="R75" s="392"/>
      <c r="S75" s="385" t="str">
        <f t="shared" si="3"/>
        <v/>
      </c>
    </row>
    <row r="76" spans="2:20">
      <c r="B76" s="609">
        <v>501000</v>
      </c>
      <c r="C76" s="610" t="s">
        <v>212</v>
      </c>
      <c r="D76" s="611" t="s">
        <v>511</v>
      </c>
      <c r="E76" s="602"/>
      <c r="F76" s="603">
        <v>2</v>
      </c>
      <c r="G76" s="604">
        <v>1.8</v>
      </c>
      <c r="H76" s="608">
        <v>7.7</v>
      </c>
      <c r="I76" s="671">
        <v>5.55</v>
      </c>
      <c r="J76" s="675">
        <f t="shared" si="10"/>
        <v>13.25</v>
      </c>
      <c r="K76" s="606">
        <f t="shared" si="11"/>
        <v>16.079999999999998</v>
      </c>
      <c r="L76" s="607" t="s">
        <v>16</v>
      </c>
      <c r="M76" s="30">
        <v>340.24</v>
      </c>
      <c r="N76" s="30">
        <v>16.079999999999998</v>
      </c>
      <c r="O76" s="287">
        <f t="shared" si="12"/>
        <v>5471.06</v>
      </c>
      <c r="P76" s="287">
        <f t="shared" si="13"/>
        <v>5471.06</v>
      </c>
      <c r="Q76" s="288"/>
      <c r="R76" s="392" t="s">
        <v>174</v>
      </c>
      <c r="S76" s="385" t="str">
        <f t="shared" si="3"/>
        <v>x</v>
      </c>
      <c r="T76" s="3" t="s">
        <v>174</v>
      </c>
    </row>
    <row r="77" spans="2:20" hidden="1">
      <c r="B77" s="609" t="s">
        <v>1775</v>
      </c>
      <c r="C77" s="610" t="s">
        <v>212</v>
      </c>
      <c r="D77" s="611" t="s">
        <v>509</v>
      </c>
      <c r="E77" s="602"/>
      <c r="F77" s="603"/>
      <c r="G77" s="604">
        <v>0</v>
      </c>
      <c r="H77" s="605">
        <v>0</v>
      </c>
      <c r="I77" s="671">
        <v>3.68</v>
      </c>
      <c r="J77" s="675">
        <f t="shared" si="10"/>
        <v>3.68</v>
      </c>
      <c r="K77" s="606">
        <f t="shared" si="11"/>
        <v>4.47</v>
      </c>
      <c r="L77" s="607" t="s">
        <v>16</v>
      </c>
      <c r="M77" s="30"/>
      <c r="N77" s="30"/>
      <c r="O77" s="287">
        <f t="shared" si="12"/>
        <v>0</v>
      </c>
      <c r="P77" s="287">
        <f t="shared" si="13"/>
        <v>0</v>
      </c>
      <c r="Q77" s="288"/>
      <c r="R77" s="243"/>
      <c r="S77" s="385" t="str">
        <f t="shared" si="3"/>
        <v/>
      </c>
    </row>
    <row r="78" spans="2:20" hidden="1">
      <c r="B78" s="609" t="s">
        <v>1776</v>
      </c>
      <c r="C78" s="610" t="s">
        <v>212</v>
      </c>
      <c r="D78" s="611" t="s">
        <v>510</v>
      </c>
      <c r="E78" s="602"/>
      <c r="F78" s="603"/>
      <c r="G78" s="604"/>
      <c r="H78" s="605">
        <v>0</v>
      </c>
      <c r="I78" s="671">
        <v>4.5</v>
      </c>
      <c r="J78" s="675">
        <f t="shared" si="10"/>
        <v>4.5</v>
      </c>
      <c r="K78" s="606">
        <f t="shared" si="11"/>
        <v>5.46</v>
      </c>
      <c r="L78" s="607" t="s">
        <v>16</v>
      </c>
      <c r="M78" s="30"/>
      <c r="N78" s="30"/>
      <c r="O78" s="287">
        <f t="shared" si="12"/>
        <v>0</v>
      </c>
      <c r="P78" s="287">
        <f t="shared" si="13"/>
        <v>0</v>
      </c>
      <c r="Q78" s="288"/>
      <c r="R78" s="243"/>
      <c r="S78" s="385" t="str">
        <f t="shared" si="3"/>
        <v/>
      </c>
    </row>
    <row r="79" spans="2:20" hidden="1">
      <c r="B79" s="609" t="s">
        <v>1777</v>
      </c>
      <c r="C79" s="610" t="s">
        <v>212</v>
      </c>
      <c r="D79" s="611" t="s">
        <v>195</v>
      </c>
      <c r="E79" s="602"/>
      <c r="F79" s="603"/>
      <c r="G79" s="604">
        <v>0</v>
      </c>
      <c r="H79" s="605">
        <v>0</v>
      </c>
      <c r="I79" s="671">
        <v>6.31</v>
      </c>
      <c r="J79" s="675">
        <f t="shared" si="10"/>
        <v>6.31</v>
      </c>
      <c r="K79" s="606">
        <f t="shared" si="11"/>
        <v>7.66</v>
      </c>
      <c r="L79" s="607" t="s">
        <v>16</v>
      </c>
      <c r="M79" s="30"/>
      <c r="N79" s="30"/>
      <c r="O79" s="287">
        <f t="shared" si="12"/>
        <v>0</v>
      </c>
      <c r="P79" s="287">
        <f t="shared" si="13"/>
        <v>0</v>
      </c>
      <c r="Q79" s="288"/>
      <c r="R79" s="243"/>
      <c r="S79" s="385" t="str">
        <f t="shared" si="3"/>
        <v/>
      </c>
    </row>
    <row r="80" spans="2:20" hidden="1">
      <c r="B80" s="609">
        <v>421000</v>
      </c>
      <c r="C80" s="610" t="s">
        <v>212</v>
      </c>
      <c r="D80" s="611" t="s">
        <v>196</v>
      </c>
      <c r="E80" s="602"/>
      <c r="F80" s="603">
        <v>1</v>
      </c>
      <c r="G80" s="604"/>
      <c r="H80" s="605">
        <v>0</v>
      </c>
      <c r="I80" s="671">
        <v>8.5</v>
      </c>
      <c r="J80" s="675">
        <f t="shared" si="10"/>
        <v>8.5</v>
      </c>
      <c r="K80" s="606">
        <f t="shared" si="11"/>
        <v>10.31</v>
      </c>
      <c r="L80" s="607" t="s">
        <v>16</v>
      </c>
      <c r="M80" s="30"/>
      <c r="N80" s="30"/>
      <c r="O80" s="287">
        <f t="shared" si="12"/>
        <v>0</v>
      </c>
      <c r="P80" s="287">
        <f t="shared" si="13"/>
        <v>0</v>
      </c>
      <c r="Q80" s="288"/>
      <c r="R80" s="243"/>
      <c r="S80" s="385" t="str">
        <f t="shared" si="3"/>
        <v/>
      </c>
    </row>
    <row r="81" spans="2:20" hidden="1">
      <c r="B81" s="609">
        <v>431010</v>
      </c>
      <c r="C81" s="610" t="s">
        <v>212</v>
      </c>
      <c r="D81" s="611" t="s">
        <v>197</v>
      </c>
      <c r="E81" s="602"/>
      <c r="F81" s="603">
        <v>1</v>
      </c>
      <c r="G81" s="604">
        <v>0</v>
      </c>
      <c r="H81" s="605">
        <v>0</v>
      </c>
      <c r="I81" s="671">
        <v>26.659999999999997</v>
      </c>
      <c r="J81" s="675">
        <f t="shared" si="10"/>
        <v>26.659999999999997</v>
      </c>
      <c r="K81" s="606">
        <f t="shared" si="11"/>
        <v>32.35</v>
      </c>
      <c r="L81" s="607" t="s">
        <v>16</v>
      </c>
      <c r="M81" s="30"/>
      <c r="N81" s="30"/>
      <c r="O81" s="287">
        <f t="shared" si="12"/>
        <v>0</v>
      </c>
      <c r="P81" s="287">
        <f t="shared" si="13"/>
        <v>0</v>
      </c>
      <c r="Q81" s="288"/>
      <c r="R81" s="243"/>
      <c r="S81" s="385" t="str">
        <f t="shared" si="3"/>
        <v/>
      </c>
    </row>
    <row r="82" spans="2:20" hidden="1">
      <c r="B82" s="609" t="s">
        <v>1778</v>
      </c>
      <c r="C82" s="610" t="s">
        <v>212</v>
      </c>
      <c r="D82" s="611" t="s">
        <v>198</v>
      </c>
      <c r="E82" s="602"/>
      <c r="F82" s="603">
        <v>15</v>
      </c>
      <c r="G82" s="604">
        <v>1.5</v>
      </c>
      <c r="H82" s="608">
        <f t="shared" ref="H82:H83" si="14">IF(F82&lt;=30,(0.7*F82+1.45)*G82,((0.7*30+1.45)+0.58*(F82-30))*G82)</f>
        <v>17.924999999999997</v>
      </c>
      <c r="I82" s="671">
        <v>3.68</v>
      </c>
      <c r="J82" s="675">
        <f t="shared" si="10"/>
        <v>21.604999999999997</v>
      </c>
      <c r="K82" s="606">
        <f t="shared" si="11"/>
        <v>26.22</v>
      </c>
      <c r="L82" s="607" t="s">
        <v>16</v>
      </c>
      <c r="M82" s="30"/>
      <c r="N82" s="30"/>
      <c r="O82" s="287">
        <f t="shared" si="12"/>
        <v>0</v>
      </c>
      <c r="P82" s="287">
        <f t="shared" si="13"/>
        <v>0</v>
      </c>
      <c r="Q82" s="288"/>
      <c r="R82" s="243"/>
      <c r="S82" s="385" t="str">
        <f t="shared" si="3"/>
        <v/>
      </c>
    </row>
    <row r="83" spans="2:20" hidden="1">
      <c r="B83" s="609" t="s">
        <v>1779</v>
      </c>
      <c r="C83" s="610" t="s">
        <v>212</v>
      </c>
      <c r="D83" s="611" t="s">
        <v>199</v>
      </c>
      <c r="E83" s="602"/>
      <c r="F83" s="603">
        <v>4</v>
      </c>
      <c r="G83" s="604">
        <v>1.5</v>
      </c>
      <c r="H83" s="608">
        <f t="shared" si="14"/>
        <v>6.375</v>
      </c>
      <c r="I83" s="671">
        <v>4.5</v>
      </c>
      <c r="J83" s="675">
        <f t="shared" si="10"/>
        <v>10.875</v>
      </c>
      <c r="K83" s="606">
        <f t="shared" si="11"/>
        <v>13.2</v>
      </c>
      <c r="L83" s="607" t="s">
        <v>16</v>
      </c>
      <c r="M83" s="30"/>
      <c r="N83" s="30"/>
      <c r="O83" s="287">
        <f t="shared" si="12"/>
        <v>0</v>
      </c>
      <c r="P83" s="287">
        <f t="shared" si="13"/>
        <v>0</v>
      </c>
      <c r="Q83" s="288"/>
      <c r="R83" s="243"/>
      <c r="S83" s="385" t="str">
        <f t="shared" si="3"/>
        <v/>
      </c>
    </row>
    <row r="84" spans="2:20" hidden="1">
      <c r="B84" s="609" t="s">
        <v>1780</v>
      </c>
      <c r="C84" s="610" t="s">
        <v>212</v>
      </c>
      <c r="D84" s="611" t="s">
        <v>194</v>
      </c>
      <c r="E84" s="602"/>
      <c r="F84" s="603"/>
      <c r="G84" s="604"/>
      <c r="H84" s="605">
        <f>IF(F84&lt;=30,(0.57*F84+1.18)*G84,((0.57*30+1.18)+0.47*(F84-30))*G84)</f>
        <v>0</v>
      </c>
      <c r="I84" s="671">
        <v>6.31</v>
      </c>
      <c r="J84" s="675">
        <f t="shared" si="10"/>
        <v>6.31</v>
      </c>
      <c r="K84" s="606">
        <f t="shared" si="11"/>
        <v>7.66</v>
      </c>
      <c r="L84" s="607" t="s">
        <v>16</v>
      </c>
      <c r="M84" s="30"/>
      <c r="N84" s="30"/>
      <c r="O84" s="287">
        <f t="shared" si="12"/>
        <v>0</v>
      </c>
      <c r="P84" s="287">
        <f t="shared" si="13"/>
        <v>0</v>
      </c>
      <c r="Q84" s="288"/>
      <c r="R84" s="392"/>
      <c r="S84" s="385" t="str">
        <f t="shared" ref="S84:S154" si="15">IF(R84="x","x",IF(R84="y","x",IF(R84="xy","x",IF(P84&gt;0,"x",""))))</f>
        <v/>
      </c>
    </row>
    <row r="85" spans="2:20" hidden="1">
      <c r="B85" s="609">
        <v>420200</v>
      </c>
      <c r="C85" s="610" t="s">
        <v>212</v>
      </c>
      <c r="D85" s="611" t="s">
        <v>754</v>
      </c>
      <c r="E85" s="602"/>
      <c r="F85" s="603">
        <v>1</v>
      </c>
      <c r="G85" s="604"/>
      <c r="H85" s="605">
        <f>IF(F85&lt;=30,(0.57*F85+1.18)*G85,((0.57*30+1.18)+0.47*(F85-30))*G85)</f>
        <v>0</v>
      </c>
      <c r="I85" s="671">
        <v>7.71</v>
      </c>
      <c r="J85" s="675">
        <f>IF(ISBLANK(I85),"",SUM(H85:I85))*0.9</f>
        <v>6.9390000000000001</v>
      </c>
      <c r="K85" s="606">
        <f t="shared" si="11"/>
        <v>8.42</v>
      </c>
      <c r="L85" s="607" t="s">
        <v>16</v>
      </c>
      <c r="M85" s="30"/>
      <c r="N85" s="30"/>
      <c r="O85" s="287">
        <f t="shared" si="12"/>
        <v>0</v>
      </c>
      <c r="P85" s="287">
        <f t="shared" si="13"/>
        <v>0</v>
      </c>
      <c r="Q85" s="288"/>
      <c r="R85" s="392"/>
      <c r="S85" s="385" t="str">
        <f t="shared" si="15"/>
        <v/>
      </c>
    </row>
    <row r="86" spans="2:20" hidden="1">
      <c r="B86" s="609">
        <v>404000</v>
      </c>
      <c r="C86" s="610" t="s">
        <v>212</v>
      </c>
      <c r="D86" s="611" t="s">
        <v>193</v>
      </c>
      <c r="E86" s="602"/>
      <c r="F86" s="603">
        <v>2</v>
      </c>
      <c r="G86" s="604">
        <v>1.5</v>
      </c>
      <c r="H86" s="608">
        <f>IF(F86&lt;=30,(0.7*F86+1.45)*G86,((0.7*30+1.45)+0.58*(F86-30))*G86)</f>
        <v>4.2749999999999995</v>
      </c>
      <c r="I86" s="671">
        <v>7.78</v>
      </c>
      <c r="J86" s="675">
        <f t="shared" si="10"/>
        <v>12.055</v>
      </c>
      <c r="K86" s="606">
        <f t="shared" si="11"/>
        <v>14.63</v>
      </c>
      <c r="L86" s="607" t="s">
        <v>16</v>
      </c>
      <c r="M86" s="30"/>
      <c r="N86" s="30"/>
      <c r="O86" s="287">
        <f t="shared" si="12"/>
        <v>0</v>
      </c>
      <c r="P86" s="287">
        <f t="shared" si="13"/>
        <v>0</v>
      </c>
      <c r="Q86" s="288"/>
      <c r="R86" s="392"/>
      <c r="S86" s="385" t="str">
        <f t="shared" si="15"/>
        <v/>
      </c>
    </row>
    <row r="87" spans="2:20">
      <c r="B87" s="624" t="s">
        <v>187</v>
      </c>
      <c r="C87" s="393"/>
      <c r="D87" s="394" t="s">
        <v>2110</v>
      </c>
      <c r="E87" s="395"/>
      <c r="F87" s="396"/>
      <c r="G87" s="397"/>
      <c r="H87" s="398"/>
      <c r="I87" s="399"/>
      <c r="J87" s="399"/>
      <c r="K87" s="399"/>
      <c r="L87" s="399" t="s">
        <v>777</v>
      </c>
      <c r="M87" s="398"/>
      <c r="N87" s="399"/>
      <c r="O87" s="399"/>
      <c r="P87" s="400"/>
      <c r="Q87" s="288"/>
      <c r="R87" s="384" t="str">
        <f>IF(SUM(P88:P112)&gt;0,"y","")</f>
        <v>y</v>
      </c>
      <c r="S87" s="385" t="str">
        <f t="shared" si="15"/>
        <v>x</v>
      </c>
    </row>
    <row r="88" spans="2:20" ht="25.5">
      <c r="B88" s="794" t="s">
        <v>2116</v>
      </c>
      <c r="C88" s="401" t="s">
        <v>843</v>
      </c>
      <c r="D88" s="402" t="s">
        <v>2111</v>
      </c>
      <c r="E88" s="403"/>
      <c r="F88" s="404"/>
      <c r="G88" s="405"/>
      <c r="H88" s="404"/>
      <c r="I88" s="406"/>
      <c r="J88" s="407">
        <v>1.71</v>
      </c>
      <c r="K88" s="408">
        <f t="shared" ref="K88:K112" si="16">IF(ISBLANK(J88),0,ROUND(J88*(1+$F$10)*(1+$F$11*E88),2))</f>
        <v>2.08</v>
      </c>
      <c r="L88" s="409" t="s">
        <v>19</v>
      </c>
      <c r="M88" s="425">
        <v>81.900000000000006</v>
      </c>
      <c r="N88" s="425">
        <v>2.08</v>
      </c>
      <c r="O88" s="287">
        <f t="shared" ref="O88" si="17">IF(ISBLANK(M88),0,ROUND(K88*M88,2))</f>
        <v>170.35</v>
      </c>
      <c r="P88" s="391">
        <f t="shared" ref="P88:P112" si="18">IF(ISBLANK(N88),0,ROUND(M88*N88,2))</f>
        <v>170.35</v>
      </c>
      <c r="Q88" s="288"/>
      <c r="R88" s="243" t="s">
        <v>2118</v>
      </c>
      <c r="S88" s="385" t="str">
        <f t="shared" si="15"/>
        <v>x</v>
      </c>
      <c r="T88" s="3" t="s">
        <v>2118</v>
      </c>
    </row>
    <row r="89" spans="2:20" ht="25.5">
      <c r="B89" s="794" t="s">
        <v>2116</v>
      </c>
      <c r="C89" s="401" t="s">
        <v>843</v>
      </c>
      <c r="D89" s="410" t="s">
        <v>2112</v>
      </c>
      <c r="E89" s="403"/>
      <c r="F89" s="411"/>
      <c r="G89" s="405"/>
      <c r="H89" s="404"/>
      <c r="I89" s="406"/>
      <c r="J89" s="407">
        <v>1.71</v>
      </c>
      <c r="K89" s="412">
        <f t="shared" si="16"/>
        <v>2.08</v>
      </c>
      <c r="L89" s="409" t="s">
        <v>16</v>
      </c>
      <c r="M89" s="30">
        <v>5103.6000000000004</v>
      </c>
      <c r="N89" s="30">
        <v>2.08</v>
      </c>
      <c r="O89" s="287">
        <f>IF(ISBLANK(M89),0,ROUND(K89*M89,2))</f>
        <v>10615.49</v>
      </c>
      <c r="P89" s="287">
        <f t="shared" si="18"/>
        <v>10615.49</v>
      </c>
      <c r="Q89" s="288"/>
      <c r="R89" s="243" t="s">
        <v>2118</v>
      </c>
      <c r="S89" s="385" t="str">
        <f t="shared" si="15"/>
        <v>x</v>
      </c>
      <c r="T89" s="3" t="s">
        <v>2118</v>
      </c>
    </row>
    <row r="90" spans="2:20" ht="25.5">
      <c r="B90" s="794" t="s">
        <v>2116</v>
      </c>
      <c r="C90" s="401" t="s">
        <v>843</v>
      </c>
      <c r="D90" s="410" t="s">
        <v>2113</v>
      </c>
      <c r="E90" s="403"/>
      <c r="F90" s="411"/>
      <c r="G90" s="405"/>
      <c r="H90" s="404"/>
      <c r="I90" s="406"/>
      <c r="J90" s="407">
        <v>1.71</v>
      </c>
      <c r="K90" s="412">
        <f t="shared" si="16"/>
        <v>2.08</v>
      </c>
      <c r="L90" s="409" t="s">
        <v>18</v>
      </c>
      <c r="M90" s="30">
        <v>2721.98</v>
      </c>
      <c r="N90" s="30">
        <v>2.08</v>
      </c>
      <c r="O90" s="287">
        <f t="shared" ref="O90:O112" si="19">IF(ISBLANK(M90),0,ROUND(K90*M90,2))</f>
        <v>5661.72</v>
      </c>
      <c r="P90" s="287">
        <f t="shared" si="18"/>
        <v>5661.72</v>
      </c>
      <c r="Q90" s="288"/>
      <c r="R90" s="243" t="s">
        <v>2118</v>
      </c>
      <c r="S90" s="385" t="str">
        <f t="shared" si="15"/>
        <v>x</v>
      </c>
      <c r="T90" s="3" t="s">
        <v>2118</v>
      </c>
    </row>
    <row r="91" spans="2:20" ht="25.5">
      <c r="B91" s="794" t="s">
        <v>2117</v>
      </c>
      <c r="C91" s="401" t="s">
        <v>843</v>
      </c>
      <c r="D91" s="410" t="s">
        <v>2114</v>
      </c>
      <c r="E91" s="403"/>
      <c r="F91" s="411"/>
      <c r="G91" s="405"/>
      <c r="H91" s="404"/>
      <c r="I91" s="406"/>
      <c r="J91" s="407">
        <v>1.71</v>
      </c>
      <c r="K91" s="412">
        <f t="shared" si="16"/>
        <v>2.08</v>
      </c>
      <c r="L91" s="409" t="s">
        <v>23</v>
      </c>
      <c r="M91" s="30">
        <v>1814.64</v>
      </c>
      <c r="N91" s="30">
        <v>2.08</v>
      </c>
      <c r="O91" s="287">
        <f t="shared" si="19"/>
        <v>3774.45</v>
      </c>
      <c r="P91" s="287">
        <f t="shared" si="18"/>
        <v>3774.45</v>
      </c>
      <c r="Q91" s="288"/>
      <c r="R91" s="243" t="s">
        <v>2118</v>
      </c>
      <c r="S91" s="385" t="str">
        <f t="shared" si="15"/>
        <v>x</v>
      </c>
      <c r="T91" s="3" t="s">
        <v>2118</v>
      </c>
    </row>
    <row r="92" spans="2:20" ht="26.25" thickBot="1">
      <c r="B92" s="794" t="s">
        <v>2116</v>
      </c>
      <c r="C92" s="401" t="s">
        <v>843</v>
      </c>
      <c r="D92" s="410" t="s">
        <v>2115</v>
      </c>
      <c r="E92" s="403"/>
      <c r="F92" s="411"/>
      <c r="G92" s="405"/>
      <c r="H92" s="404"/>
      <c r="I92" s="406"/>
      <c r="J92" s="407">
        <v>1.71</v>
      </c>
      <c r="K92" s="412">
        <f t="shared" si="16"/>
        <v>2.08</v>
      </c>
      <c r="L92" s="409" t="s">
        <v>23</v>
      </c>
      <c r="M92" s="30">
        <v>10207.200000000001</v>
      </c>
      <c r="N92" s="30">
        <v>2.08</v>
      </c>
      <c r="O92" s="287">
        <f t="shared" si="19"/>
        <v>21230.98</v>
      </c>
      <c r="P92" s="287">
        <f t="shared" si="18"/>
        <v>21230.98</v>
      </c>
      <c r="Q92" s="288"/>
      <c r="R92" s="243" t="s">
        <v>2118</v>
      </c>
      <c r="S92" s="385" t="str">
        <f t="shared" si="15"/>
        <v>x</v>
      </c>
      <c r="T92" s="3" t="s">
        <v>2118</v>
      </c>
    </row>
    <row r="93" spans="2:20" ht="13.5" hidden="1" thickBot="1">
      <c r="B93" s="625"/>
      <c r="C93" s="401"/>
      <c r="D93" s="410"/>
      <c r="E93" s="403"/>
      <c r="F93" s="411"/>
      <c r="G93" s="405"/>
      <c r="H93" s="404"/>
      <c r="I93" s="406"/>
      <c r="J93" s="407"/>
      <c r="K93" s="412">
        <f t="shared" si="16"/>
        <v>0</v>
      </c>
      <c r="L93" s="409"/>
      <c r="M93" s="30"/>
      <c r="N93" s="30"/>
      <c r="O93" s="287">
        <f t="shared" si="19"/>
        <v>0</v>
      </c>
      <c r="P93" s="287">
        <f t="shared" si="18"/>
        <v>0</v>
      </c>
      <c r="Q93" s="288"/>
      <c r="R93" s="243"/>
      <c r="S93" s="385" t="str">
        <f t="shared" si="15"/>
        <v/>
      </c>
    </row>
    <row r="94" spans="2:20" ht="13.5" hidden="1" thickBot="1">
      <c r="B94" s="625"/>
      <c r="C94" s="401"/>
      <c r="D94" s="410"/>
      <c r="E94" s="403"/>
      <c r="F94" s="411"/>
      <c r="G94" s="405"/>
      <c r="H94" s="404"/>
      <c r="I94" s="406"/>
      <c r="J94" s="407"/>
      <c r="K94" s="412">
        <f t="shared" si="16"/>
        <v>0</v>
      </c>
      <c r="L94" s="409"/>
      <c r="M94" s="30"/>
      <c r="N94" s="30"/>
      <c r="O94" s="287">
        <f t="shared" si="19"/>
        <v>0</v>
      </c>
      <c r="P94" s="287">
        <f t="shared" si="18"/>
        <v>0</v>
      </c>
      <c r="Q94" s="288"/>
      <c r="R94" s="243"/>
      <c r="S94" s="385" t="str">
        <f t="shared" si="15"/>
        <v/>
      </c>
    </row>
    <row r="95" spans="2:20" ht="13.5" hidden="1" thickBot="1">
      <c r="B95" s="625"/>
      <c r="C95" s="401"/>
      <c r="D95" s="410"/>
      <c r="E95" s="403"/>
      <c r="F95" s="411"/>
      <c r="G95" s="405"/>
      <c r="H95" s="404"/>
      <c r="I95" s="406"/>
      <c r="J95" s="407"/>
      <c r="K95" s="412">
        <f t="shared" si="16"/>
        <v>0</v>
      </c>
      <c r="L95" s="409"/>
      <c r="M95" s="30"/>
      <c r="N95" s="30"/>
      <c r="O95" s="287">
        <f t="shared" si="19"/>
        <v>0</v>
      </c>
      <c r="P95" s="287">
        <f t="shared" si="18"/>
        <v>0</v>
      </c>
      <c r="Q95" s="288"/>
      <c r="R95" s="243"/>
      <c r="S95" s="385" t="str">
        <f t="shared" si="15"/>
        <v/>
      </c>
    </row>
    <row r="96" spans="2:20" ht="13.5" hidden="1" thickBot="1">
      <c r="B96" s="625"/>
      <c r="C96" s="401"/>
      <c r="D96" s="410"/>
      <c r="E96" s="403"/>
      <c r="F96" s="411"/>
      <c r="G96" s="405"/>
      <c r="H96" s="404"/>
      <c r="I96" s="406"/>
      <c r="J96" s="407"/>
      <c r="K96" s="412">
        <f t="shared" si="16"/>
        <v>0</v>
      </c>
      <c r="L96" s="409"/>
      <c r="M96" s="30"/>
      <c r="N96" s="30"/>
      <c r="O96" s="287">
        <f t="shared" si="19"/>
        <v>0</v>
      </c>
      <c r="P96" s="287">
        <f t="shared" si="18"/>
        <v>0</v>
      </c>
      <c r="Q96" s="288"/>
      <c r="R96" s="243"/>
      <c r="S96" s="385" t="str">
        <f t="shared" si="15"/>
        <v/>
      </c>
    </row>
    <row r="97" spans="2:19" ht="13.5" hidden="1" thickBot="1">
      <c r="B97" s="625"/>
      <c r="C97" s="401"/>
      <c r="D97" s="410"/>
      <c r="E97" s="403"/>
      <c r="F97" s="411"/>
      <c r="G97" s="405"/>
      <c r="H97" s="404"/>
      <c r="I97" s="406"/>
      <c r="J97" s="407"/>
      <c r="K97" s="412">
        <f t="shared" si="16"/>
        <v>0</v>
      </c>
      <c r="L97" s="409"/>
      <c r="M97" s="30"/>
      <c r="N97" s="30"/>
      <c r="O97" s="287">
        <f t="shared" si="19"/>
        <v>0</v>
      </c>
      <c r="P97" s="287">
        <f t="shared" si="18"/>
        <v>0</v>
      </c>
      <c r="Q97" s="288"/>
      <c r="R97" s="243"/>
      <c r="S97" s="385" t="str">
        <f t="shared" si="15"/>
        <v/>
      </c>
    </row>
    <row r="98" spans="2:19" ht="13.5" hidden="1" thickBot="1">
      <c r="B98" s="625"/>
      <c r="C98" s="401"/>
      <c r="D98" s="410"/>
      <c r="E98" s="403"/>
      <c r="F98" s="411"/>
      <c r="G98" s="405"/>
      <c r="H98" s="404"/>
      <c r="I98" s="406"/>
      <c r="J98" s="407"/>
      <c r="K98" s="412">
        <f t="shared" si="16"/>
        <v>0</v>
      </c>
      <c r="L98" s="409"/>
      <c r="M98" s="30"/>
      <c r="N98" s="30"/>
      <c r="O98" s="287">
        <f t="shared" si="19"/>
        <v>0</v>
      </c>
      <c r="P98" s="287">
        <f t="shared" si="18"/>
        <v>0</v>
      </c>
      <c r="Q98" s="288"/>
      <c r="R98" s="243"/>
      <c r="S98" s="385" t="str">
        <f t="shared" si="15"/>
        <v/>
      </c>
    </row>
    <row r="99" spans="2:19" ht="13.5" hidden="1" thickBot="1">
      <c r="B99" s="625"/>
      <c r="C99" s="401"/>
      <c r="D99" s="410"/>
      <c r="E99" s="403"/>
      <c r="F99" s="411"/>
      <c r="G99" s="405"/>
      <c r="H99" s="404"/>
      <c r="I99" s="406"/>
      <c r="J99" s="407"/>
      <c r="K99" s="412">
        <f t="shared" si="16"/>
        <v>0</v>
      </c>
      <c r="L99" s="409"/>
      <c r="M99" s="30"/>
      <c r="N99" s="30"/>
      <c r="O99" s="287">
        <f t="shared" si="19"/>
        <v>0</v>
      </c>
      <c r="P99" s="287">
        <f t="shared" si="18"/>
        <v>0</v>
      </c>
      <c r="Q99" s="288"/>
      <c r="R99" s="243"/>
      <c r="S99" s="385" t="str">
        <f t="shared" si="15"/>
        <v/>
      </c>
    </row>
    <row r="100" spans="2:19" ht="13.5" hidden="1" thickBot="1">
      <c r="B100" s="625"/>
      <c r="C100" s="401"/>
      <c r="D100" s="410"/>
      <c r="E100" s="403"/>
      <c r="F100" s="411"/>
      <c r="G100" s="405"/>
      <c r="H100" s="404"/>
      <c r="I100" s="406"/>
      <c r="J100" s="407"/>
      <c r="K100" s="412">
        <f t="shared" si="16"/>
        <v>0</v>
      </c>
      <c r="L100" s="409"/>
      <c r="M100" s="30"/>
      <c r="N100" s="30"/>
      <c r="O100" s="287">
        <f t="shared" si="19"/>
        <v>0</v>
      </c>
      <c r="P100" s="287">
        <f t="shared" si="18"/>
        <v>0</v>
      </c>
      <c r="Q100" s="288"/>
      <c r="R100" s="243"/>
      <c r="S100" s="385" t="str">
        <f t="shared" si="15"/>
        <v/>
      </c>
    </row>
    <row r="101" spans="2:19" ht="13.5" hidden="1" thickBot="1">
      <c r="B101" s="625"/>
      <c r="C101" s="401"/>
      <c r="D101" s="410"/>
      <c r="E101" s="403"/>
      <c r="F101" s="411"/>
      <c r="G101" s="405"/>
      <c r="H101" s="404"/>
      <c r="I101" s="406"/>
      <c r="J101" s="407"/>
      <c r="K101" s="412">
        <f t="shared" si="16"/>
        <v>0</v>
      </c>
      <c r="L101" s="409"/>
      <c r="M101" s="30"/>
      <c r="N101" s="30"/>
      <c r="O101" s="287">
        <f t="shared" si="19"/>
        <v>0</v>
      </c>
      <c r="P101" s="287">
        <f t="shared" si="18"/>
        <v>0</v>
      </c>
      <c r="Q101" s="288"/>
      <c r="R101" s="243"/>
      <c r="S101" s="385" t="str">
        <f t="shared" si="15"/>
        <v/>
      </c>
    </row>
    <row r="102" spans="2:19" ht="13.5" hidden="1" thickBot="1">
      <c r="B102" s="625" t="s">
        <v>187</v>
      </c>
      <c r="C102" s="401" t="s">
        <v>187</v>
      </c>
      <c r="D102" s="410"/>
      <c r="E102" s="403"/>
      <c r="F102" s="411"/>
      <c r="G102" s="405"/>
      <c r="H102" s="404"/>
      <c r="I102" s="406"/>
      <c r="J102" s="407"/>
      <c r="K102" s="412">
        <f t="shared" si="16"/>
        <v>0</v>
      </c>
      <c r="L102" s="409" t="s">
        <v>777</v>
      </c>
      <c r="M102" s="30"/>
      <c r="N102" s="30"/>
      <c r="O102" s="287">
        <f t="shared" si="19"/>
        <v>0</v>
      </c>
      <c r="P102" s="287">
        <f t="shared" si="18"/>
        <v>0</v>
      </c>
      <c r="Q102" s="288"/>
      <c r="R102" s="243"/>
      <c r="S102" s="385" t="str">
        <f t="shared" si="15"/>
        <v/>
      </c>
    </row>
    <row r="103" spans="2:19" ht="13.5" hidden="1" thickBot="1">
      <c r="B103" s="625" t="s">
        <v>187</v>
      </c>
      <c r="C103" s="401" t="s">
        <v>187</v>
      </c>
      <c r="D103" s="410"/>
      <c r="E103" s="403"/>
      <c r="F103" s="411"/>
      <c r="G103" s="405"/>
      <c r="H103" s="404"/>
      <c r="I103" s="406"/>
      <c r="J103" s="407"/>
      <c r="K103" s="412">
        <f t="shared" si="16"/>
        <v>0</v>
      </c>
      <c r="L103" s="409" t="s">
        <v>777</v>
      </c>
      <c r="M103" s="30"/>
      <c r="N103" s="30"/>
      <c r="O103" s="287">
        <f t="shared" si="19"/>
        <v>0</v>
      </c>
      <c r="P103" s="287">
        <f t="shared" si="18"/>
        <v>0</v>
      </c>
      <c r="Q103" s="288"/>
      <c r="R103" s="243"/>
      <c r="S103" s="385" t="str">
        <f t="shared" si="15"/>
        <v/>
      </c>
    </row>
    <row r="104" spans="2:19" ht="13.5" hidden="1" thickBot="1">
      <c r="B104" s="625" t="s">
        <v>187</v>
      </c>
      <c r="C104" s="401" t="s">
        <v>187</v>
      </c>
      <c r="D104" s="410"/>
      <c r="E104" s="403"/>
      <c r="F104" s="411"/>
      <c r="G104" s="405"/>
      <c r="H104" s="404"/>
      <c r="I104" s="406"/>
      <c r="J104" s="407"/>
      <c r="K104" s="412">
        <f t="shared" si="16"/>
        <v>0</v>
      </c>
      <c r="L104" s="409" t="s">
        <v>777</v>
      </c>
      <c r="M104" s="30"/>
      <c r="N104" s="30"/>
      <c r="O104" s="287">
        <f t="shared" si="19"/>
        <v>0</v>
      </c>
      <c r="P104" s="287">
        <f t="shared" si="18"/>
        <v>0</v>
      </c>
      <c r="Q104" s="288"/>
      <c r="R104" s="243"/>
      <c r="S104" s="385" t="str">
        <f t="shared" si="15"/>
        <v/>
      </c>
    </row>
    <row r="105" spans="2:19" ht="13.5" hidden="1" thickBot="1">
      <c r="B105" s="625" t="s">
        <v>187</v>
      </c>
      <c r="C105" s="401" t="s">
        <v>187</v>
      </c>
      <c r="D105" s="410"/>
      <c r="E105" s="403"/>
      <c r="F105" s="411"/>
      <c r="G105" s="405"/>
      <c r="H105" s="404"/>
      <c r="I105" s="406"/>
      <c r="J105" s="407"/>
      <c r="K105" s="412">
        <f t="shared" si="16"/>
        <v>0</v>
      </c>
      <c r="L105" s="409" t="s">
        <v>777</v>
      </c>
      <c r="M105" s="30"/>
      <c r="N105" s="30"/>
      <c r="O105" s="287">
        <f t="shared" si="19"/>
        <v>0</v>
      </c>
      <c r="P105" s="287">
        <f t="shared" si="18"/>
        <v>0</v>
      </c>
      <c r="Q105" s="288"/>
      <c r="R105" s="243"/>
      <c r="S105" s="385" t="str">
        <f t="shared" si="15"/>
        <v/>
      </c>
    </row>
    <row r="106" spans="2:19" ht="13.5" hidden="1" thickBot="1">
      <c r="B106" s="625" t="s">
        <v>187</v>
      </c>
      <c r="C106" s="401" t="s">
        <v>187</v>
      </c>
      <c r="D106" s="410"/>
      <c r="E106" s="403"/>
      <c r="F106" s="411"/>
      <c r="G106" s="405"/>
      <c r="H106" s="404"/>
      <c r="I106" s="406"/>
      <c r="J106" s="407"/>
      <c r="K106" s="412">
        <f t="shared" si="16"/>
        <v>0</v>
      </c>
      <c r="L106" s="409" t="s">
        <v>777</v>
      </c>
      <c r="M106" s="30"/>
      <c r="N106" s="30"/>
      <c r="O106" s="287">
        <f t="shared" si="19"/>
        <v>0</v>
      </c>
      <c r="P106" s="287">
        <f t="shared" si="18"/>
        <v>0</v>
      </c>
      <c r="Q106" s="288"/>
      <c r="R106" s="243"/>
      <c r="S106" s="385" t="str">
        <f t="shared" si="15"/>
        <v/>
      </c>
    </row>
    <row r="107" spans="2:19" ht="13.5" hidden="1" thickBot="1">
      <c r="B107" s="625" t="s">
        <v>187</v>
      </c>
      <c r="C107" s="401" t="s">
        <v>187</v>
      </c>
      <c r="D107" s="410"/>
      <c r="E107" s="403"/>
      <c r="F107" s="411"/>
      <c r="G107" s="405"/>
      <c r="H107" s="404"/>
      <c r="I107" s="406"/>
      <c r="J107" s="407"/>
      <c r="K107" s="412">
        <f t="shared" si="16"/>
        <v>0</v>
      </c>
      <c r="L107" s="409" t="s">
        <v>777</v>
      </c>
      <c r="M107" s="30"/>
      <c r="N107" s="30"/>
      <c r="O107" s="287">
        <f t="shared" si="19"/>
        <v>0</v>
      </c>
      <c r="P107" s="287">
        <f t="shared" si="18"/>
        <v>0</v>
      </c>
      <c r="Q107" s="288"/>
      <c r="R107" s="243"/>
      <c r="S107" s="385" t="str">
        <f t="shared" si="15"/>
        <v/>
      </c>
    </row>
    <row r="108" spans="2:19" ht="13.5" hidden="1" thickBot="1">
      <c r="B108" s="625" t="s">
        <v>187</v>
      </c>
      <c r="C108" s="401" t="s">
        <v>187</v>
      </c>
      <c r="D108" s="410"/>
      <c r="E108" s="403"/>
      <c r="F108" s="411"/>
      <c r="G108" s="405"/>
      <c r="H108" s="404"/>
      <c r="I108" s="406"/>
      <c r="J108" s="407"/>
      <c r="K108" s="412">
        <f t="shared" si="16"/>
        <v>0</v>
      </c>
      <c r="L108" s="409" t="s">
        <v>777</v>
      </c>
      <c r="M108" s="30"/>
      <c r="N108" s="30"/>
      <c r="O108" s="287">
        <f t="shared" si="19"/>
        <v>0</v>
      </c>
      <c r="P108" s="287">
        <f t="shared" si="18"/>
        <v>0</v>
      </c>
      <c r="Q108" s="288"/>
      <c r="R108" s="243"/>
      <c r="S108" s="385" t="str">
        <f t="shared" si="15"/>
        <v/>
      </c>
    </row>
    <row r="109" spans="2:19" ht="13.5" hidden="1" thickBot="1">
      <c r="B109" s="625" t="s">
        <v>187</v>
      </c>
      <c r="C109" s="401" t="s">
        <v>187</v>
      </c>
      <c r="D109" s="410"/>
      <c r="E109" s="403"/>
      <c r="F109" s="411"/>
      <c r="G109" s="405"/>
      <c r="H109" s="404"/>
      <c r="I109" s="406"/>
      <c r="J109" s="407"/>
      <c r="K109" s="412">
        <f t="shared" si="16"/>
        <v>0</v>
      </c>
      <c r="L109" s="409" t="s">
        <v>777</v>
      </c>
      <c r="M109" s="30"/>
      <c r="N109" s="30"/>
      <c r="O109" s="287">
        <f t="shared" si="19"/>
        <v>0</v>
      </c>
      <c r="P109" s="287">
        <f t="shared" si="18"/>
        <v>0</v>
      </c>
      <c r="Q109" s="288"/>
      <c r="R109" s="243"/>
      <c r="S109" s="385" t="str">
        <f t="shared" si="15"/>
        <v/>
      </c>
    </row>
    <row r="110" spans="2:19" ht="13.5" hidden="1" thickBot="1">
      <c r="B110" s="625" t="s">
        <v>187</v>
      </c>
      <c r="C110" s="401" t="s">
        <v>187</v>
      </c>
      <c r="D110" s="410"/>
      <c r="E110" s="403"/>
      <c r="F110" s="411"/>
      <c r="G110" s="405"/>
      <c r="H110" s="404"/>
      <c r="I110" s="406"/>
      <c r="J110" s="407"/>
      <c r="K110" s="412">
        <f t="shared" si="16"/>
        <v>0</v>
      </c>
      <c r="L110" s="409" t="s">
        <v>777</v>
      </c>
      <c r="M110" s="30"/>
      <c r="N110" s="30"/>
      <c r="O110" s="287">
        <f t="shared" si="19"/>
        <v>0</v>
      </c>
      <c r="P110" s="287">
        <f t="shared" si="18"/>
        <v>0</v>
      </c>
      <c r="Q110" s="288"/>
      <c r="R110" s="243"/>
      <c r="S110" s="385" t="str">
        <f t="shared" si="15"/>
        <v/>
      </c>
    </row>
    <row r="111" spans="2:19" ht="13.5" hidden="1" thickBot="1">
      <c r="B111" s="625" t="s">
        <v>187</v>
      </c>
      <c r="C111" s="401" t="s">
        <v>187</v>
      </c>
      <c r="D111" s="410"/>
      <c r="E111" s="403"/>
      <c r="F111" s="411"/>
      <c r="G111" s="405"/>
      <c r="H111" s="404"/>
      <c r="I111" s="406"/>
      <c r="J111" s="407"/>
      <c r="K111" s="412">
        <f t="shared" si="16"/>
        <v>0</v>
      </c>
      <c r="L111" s="409" t="s">
        <v>777</v>
      </c>
      <c r="M111" s="30"/>
      <c r="N111" s="30"/>
      <c r="O111" s="287">
        <f t="shared" si="19"/>
        <v>0</v>
      </c>
      <c r="P111" s="287">
        <f t="shared" si="18"/>
        <v>0</v>
      </c>
      <c r="Q111" s="288"/>
      <c r="R111" s="243"/>
      <c r="S111" s="385" t="str">
        <f t="shared" si="15"/>
        <v/>
      </c>
    </row>
    <row r="112" spans="2:19" ht="13.5" hidden="1" thickBot="1">
      <c r="B112" s="626" t="s">
        <v>187</v>
      </c>
      <c r="C112" s="413" t="s">
        <v>187</v>
      </c>
      <c r="D112" s="414"/>
      <c r="E112" s="415"/>
      <c r="F112" s="416"/>
      <c r="G112" s="417"/>
      <c r="H112" s="418"/>
      <c r="I112" s="419"/>
      <c r="J112" s="420"/>
      <c r="K112" s="421">
        <f t="shared" si="16"/>
        <v>0</v>
      </c>
      <c r="L112" s="422" t="s">
        <v>777</v>
      </c>
      <c r="M112" s="30"/>
      <c r="N112" s="30"/>
      <c r="O112" s="423">
        <f t="shared" si="19"/>
        <v>0</v>
      </c>
      <c r="P112" s="423">
        <f t="shared" si="18"/>
        <v>0</v>
      </c>
      <c r="Q112" s="288"/>
      <c r="R112" s="243"/>
      <c r="S112" s="385" t="str">
        <f t="shared" si="15"/>
        <v/>
      </c>
    </row>
    <row r="113" spans="2:19" ht="13.5" thickBot="1">
      <c r="B113" s="627" t="s">
        <v>213</v>
      </c>
      <c r="C113" s="684"/>
      <c r="D113" s="685" t="s">
        <v>496</v>
      </c>
      <c r="E113" s="679"/>
      <c r="F113" s="665"/>
      <c r="G113" s="666"/>
      <c r="H113" s="667"/>
      <c r="I113" s="619"/>
      <c r="J113" s="619"/>
      <c r="K113" s="619"/>
      <c r="L113" s="619" t="s">
        <v>777</v>
      </c>
      <c r="M113" s="382"/>
      <c r="N113" s="383"/>
      <c r="O113" s="383"/>
      <c r="P113" s="295"/>
      <c r="Q113" s="296">
        <f>SUM(P114:P222)</f>
        <v>76385.08</v>
      </c>
      <c r="R113" s="384" t="str">
        <f>IF(Q113&gt;0,"X","")</f>
        <v>X</v>
      </c>
      <c r="S113" s="385" t="str">
        <f t="shared" si="15"/>
        <v>x</v>
      </c>
    </row>
    <row r="114" spans="2:19" hidden="1">
      <c r="B114" s="609" t="s">
        <v>1790</v>
      </c>
      <c r="C114" s="610" t="s">
        <v>212</v>
      </c>
      <c r="D114" s="611" t="s">
        <v>298</v>
      </c>
      <c r="E114" s="602"/>
      <c r="F114" s="639">
        <v>0.5</v>
      </c>
      <c r="G114" s="673">
        <f>1.5*1.4</f>
        <v>2.0999999999999996</v>
      </c>
      <c r="H114" s="608">
        <f t="shared" ref="H114:H117" si="20">IF(F114&lt;=30,(0.7*F114+1.45)*G114,((0.7*30+1.45)+0.58*(F114-30))*G114)</f>
        <v>3.7799999999999989</v>
      </c>
      <c r="I114" s="686">
        <v>8.8219999999999992</v>
      </c>
      <c r="J114" s="675">
        <f t="shared" ref="J114:J126" si="21">IF(ISBLANK(I114),"",SUM(H114:I114))</f>
        <v>12.601999999999999</v>
      </c>
      <c r="K114" s="606">
        <f t="shared" ref="K114:K184" si="22">IF(ISBLANK(I114),0,ROUND(J114*(1+$F$10)*(1+$F$11*E114),2))</f>
        <v>15.29</v>
      </c>
      <c r="L114" s="607" t="s">
        <v>16</v>
      </c>
      <c r="M114" s="30"/>
      <c r="N114" s="30"/>
      <c r="O114" s="287">
        <f t="shared" ref="O114:O184" si="23">IF(ISBLANK(M114),0,ROUND(K114*M114,2))</f>
        <v>0</v>
      </c>
      <c r="P114" s="287">
        <f t="shared" ref="P114:P184" si="24">IF(ISBLANK(N114),0,ROUND(M114*N114,2))</f>
        <v>0</v>
      </c>
      <c r="Q114" s="288"/>
      <c r="R114" s="243"/>
      <c r="S114" s="385" t="str">
        <f t="shared" si="15"/>
        <v/>
      </c>
    </row>
    <row r="115" spans="2:19" hidden="1">
      <c r="B115" s="609" t="s">
        <v>1791</v>
      </c>
      <c r="C115" s="610" t="s">
        <v>212</v>
      </c>
      <c r="D115" s="611" t="s">
        <v>299</v>
      </c>
      <c r="E115" s="602"/>
      <c r="F115" s="639">
        <v>15</v>
      </c>
      <c r="G115" s="673">
        <f>1.5*1.4</f>
        <v>2.0999999999999996</v>
      </c>
      <c r="H115" s="608">
        <f t="shared" si="20"/>
        <v>25.094999999999995</v>
      </c>
      <c r="I115" s="686">
        <v>8.8219999999999992</v>
      </c>
      <c r="J115" s="675">
        <f t="shared" si="21"/>
        <v>33.916999999999994</v>
      </c>
      <c r="K115" s="606">
        <f t="shared" si="22"/>
        <v>41.16</v>
      </c>
      <c r="L115" s="607" t="s">
        <v>16</v>
      </c>
      <c r="M115" s="30"/>
      <c r="N115" s="30"/>
      <c r="O115" s="287">
        <f t="shared" si="23"/>
        <v>0</v>
      </c>
      <c r="P115" s="287">
        <f t="shared" si="24"/>
        <v>0</v>
      </c>
      <c r="Q115" s="288"/>
      <c r="R115" s="243"/>
      <c r="S115" s="385" t="str">
        <f t="shared" si="15"/>
        <v/>
      </c>
    </row>
    <row r="116" spans="2:19" hidden="1">
      <c r="B116" s="609">
        <v>532100</v>
      </c>
      <c r="C116" s="610" t="s">
        <v>212</v>
      </c>
      <c r="D116" s="611" t="s">
        <v>209</v>
      </c>
      <c r="E116" s="602"/>
      <c r="F116" s="639">
        <v>20</v>
      </c>
      <c r="G116" s="604">
        <v>2.1</v>
      </c>
      <c r="H116" s="608">
        <f t="shared" si="20"/>
        <v>32.445</v>
      </c>
      <c r="I116" s="675">
        <v>72.91</v>
      </c>
      <c r="J116" s="675">
        <f t="shared" si="21"/>
        <v>105.35499999999999</v>
      </c>
      <c r="K116" s="606">
        <f t="shared" si="22"/>
        <v>127.85</v>
      </c>
      <c r="L116" s="607" t="s">
        <v>16</v>
      </c>
      <c r="M116" s="30"/>
      <c r="N116" s="30"/>
      <c r="O116" s="287">
        <f t="shared" si="23"/>
        <v>0</v>
      </c>
      <c r="P116" s="287">
        <f t="shared" si="24"/>
        <v>0</v>
      </c>
      <c r="Q116" s="288"/>
      <c r="R116" s="243"/>
      <c r="S116" s="385" t="str">
        <f t="shared" si="15"/>
        <v/>
      </c>
    </row>
    <row r="117" spans="2:19" hidden="1">
      <c r="B117" s="628">
        <v>452010</v>
      </c>
      <c r="C117" s="655" t="s">
        <v>212</v>
      </c>
      <c r="D117" s="611" t="s">
        <v>216</v>
      </c>
      <c r="E117" s="602"/>
      <c r="F117" s="639">
        <v>15</v>
      </c>
      <c r="G117" s="673">
        <v>1.98</v>
      </c>
      <c r="H117" s="608">
        <f t="shared" si="20"/>
        <v>23.660999999999998</v>
      </c>
      <c r="I117" s="675">
        <v>10.64</v>
      </c>
      <c r="J117" s="675">
        <f t="shared" si="21"/>
        <v>34.301000000000002</v>
      </c>
      <c r="K117" s="606">
        <f t="shared" si="22"/>
        <v>41.62</v>
      </c>
      <c r="L117" s="607" t="s">
        <v>16</v>
      </c>
      <c r="M117" s="30"/>
      <c r="N117" s="30"/>
      <c r="O117" s="287">
        <f t="shared" si="23"/>
        <v>0</v>
      </c>
      <c r="P117" s="287">
        <f t="shared" si="24"/>
        <v>0</v>
      </c>
      <c r="Q117" s="288"/>
      <c r="R117" s="243"/>
      <c r="S117" s="385" t="str">
        <f t="shared" si="15"/>
        <v/>
      </c>
    </row>
    <row r="118" spans="2:19" hidden="1">
      <c r="B118" s="609" t="s">
        <v>1914</v>
      </c>
      <c r="C118" s="610" t="s">
        <v>212</v>
      </c>
      <c r="D118" s="648" t="s">
        <v>357</v>
      </c>
      <c r="E118" s="602"/>
      <c r="F118" s="603">
        <v>20</v>
      </c>
      <c r="G118" s="604">
        <v>1.7250000000000001</v>
      </c>
      <c r="H118" s="605">
        <f t="shared" ref="H118:H119" si="25">IF(F118=0,0,IF(F118&lt;=30,(0.7*F118+1.45)*G118,((0.7*30+1.45)+0.58*(F118-30))*G118))</f>
        <v>26.651250000000001</v>
      </c>
      <c r="I118" s="675">
        <v>64.550000000000011</v>
      </c>
      <c r="J118" s="675">
        <f t="shared" si="21"/>
        <v>91.201250000000016</v>
      </c>
      <c r="K118" s="606">
        <f t="shared" si="22"/>
        <v>110.67</v>
      </c>
      <c r="L118" s="607" t="s">
        <v>16</v>
      </c>
      <c r="M118" s="30"/>
      <c r="N118" s="30"/>
      <c r="O118" s="287">
        <f t="shared" si="23"/>
        <v>0</v>
      </c>
      <c r="P118" s="287">
        <f t="shared" si="24"/>
        <v>0</v>
      </c>
      <c r="Q118" s="288"/>
      <c r="R118" s="243"/>
      <c r="S118" s="385" t="str">
        <f t="shared" si="15"/>
        <v/>
      </c>
    </row>
    <row r="119" spans="2:19" hidden="1">
      <c r="B119" s="609" t="s">
        <v>1920</v>
      </c>
      <c r="C119" s="610" t="s">
        <v>212</v>
      </c>
      <c r="D119" s="648" t="s">
        <v>358</v>
      </c>
      <c r="E119" s="602"/>
      <c r="F119" s="603">
        <v>20</v>
      </c>
      <c r="G119" s="604">
        <v>1.5</v>
      </c>
      <c r="H119" s="605">
        <f t="shared" si="25"/>
        <v>23.174999999999997</v>
      </c>
      <c r="I119" s="675">
        <v>107.99000000000001</v>
      </c>
      <c r="J119" s="675">
        <f t="shared" ref="J119:J125" si="26">IF(ISBLANK(I119),"",SUM(H119:I119))</f>
        <v>131.16500000000002</v>
      </c>
      <c r="K119" s="606">
        <f t="shared" si="22"/>
        <v>159.16999999999999</v>
      </c>
      <c r="L119" s="607" t="s">
        <v>16</v>
      </c>
      <c r="M119" s="30"/>
      <c r="N119" s="30"/>
      <c r="O119" s="287">
        <f t="shared" si="23"/>
        <v>0</v>
      </c>
      <c r="P119" s="287">
        <f t="shared" si="24"/>
        <v>0</v>
      </c>
      <c r="Q119" s="288"/>
      <c r="R119" s="243"/>
      <c r="S119" s="385" t="str">
        <f t="shared" si="15"/>
        <v/>
      </c>
    </row>
    <row r="120" spans="2:19" hidden="1">
      <c r="B120" s="609" t="s">
        <v>326</v>
      </c>
      <c r="C120" s="610" t="s">
        <v>212</v>
      </c>
      <c r="D120" s="611" t="s">
        <v>286</v>
      </c>
      <c r="E120" s="602"/>
      <c r="F120" s="603"/>
      <c r="G120" s="604"/>
      <c r="H120" s="605">
        <f>SUM(H121:H123)</f>
        <v>172.22290000000001</v>
      </c>
      <c r="I120" s="675">
        <v>340.38</v>
      </c>
      <c r="J120" s="675">
        <f t="shared" si="26"/>
        <v>512.60289999999998</v>
      </c>
      <c r="K120" s="606">
        <f t="shared" si="22"/>
        <v>622.04</v>
      </c>
      <c r="L120" s="607" t="s">
        <v>16</v>
      </c>
      <c r="M120" s="30"/>
      <c r="N120" s="30"/>
      <c r="O120" s="287">
        <f t="shared" si="23"/>
        <v>0</v>
      </c>
      <c r="P120" s="287">
        <f t="shared" si="24"/>
        <v>0</v>
      </c>
      <c r="Q120" s="288"/>
      <c r="R120" s="243"/>
      <c r="S120" s="385" t="str">
        <f t="shared" si="15"/>
        <v/>
      </c>
    </row>
    <row r="121" spans="2:19" hidden="1">
      <c r="B121" s="609" t="s">
        <v>168</v>
      </c>
      <c r="C121" s="610"/>
      <c r="D121" s="648" t="s">
        <v>218</v>
      </c>
      <c r="E121" s="602"/>
      <c r="F121" s="603">
        <v>500</v>
      </c>
      <c r="G121" s="604">
        <v>0.18</v>
      </c>
      <c r="H121" s="605">
        <f>IF(F121&lt;=30,(0.51*F121+4.28)*G121,((0.51*30+4.28)+0.42*(F121-30))*G121)</f>
        <v>39.056400000000004</v>
      </c>
      <c r="I121" s="675">
        <v>0</v>
      </c>
      <c r="J121" s="675"/>
      <c r="K121" s="606">
        <f t="shared" si="22"/>
        <v>0</v>
      </c>
      <c r="L121" s="607" t="s">
        <v>16</v>
      </c>
      <c r="M121" s="30"/>
      <c r="N121" s="30"/>
      <c r="O121" s="287">
        <f t="shared" si="23"/>
        <v>0</v>
      </c>
      <c r="P121" s="287">
        <f t="shared" si="24"/>
        <v>0</v>
      </c>
      <c r="Q121" s="288"/>
      <c r="R121" s="243"/>
      <c r="S121" s="385" t="str">
        <f t="shared" si="15"/>
        <v/>
      </c>
    </row>
    <row r="122" spans="2:19" hidden="1">
      <c r="B122" s="609" t="s">
        <v>168</v>
      </c>
      <c r="C122" s="610"/>
      <c r="D122" s="648" t="s">
        <v>256</v>
      </c>
      <c r="E122" s="602"/>
      <c r="F122" s="603">
        <v>180</v>
      </c>
      <c r="G122" s="604">
        <v>1.06</v>
      </c>
      <c r="H122" s="608">
        <f t="shared" ref="H122:H126" si="27">IF(F122&lt;=30,(0.7*F122+1.45)*G122,((0.7*30+1.45)+0.58*(F122-30))*G122)</f>
        <v>116.01700000000001</v>
      </c>
      <c r="I122" s="675">
        <v>0</v>
      </c>
      <c r="J122" s="675"/>
      <c r="K122" s="606">
        <f t="shared" si="22"/>
        <v>0</v>
      </c>
      <c r="L122" s="607" t="s">
        <v>16</v>
      </c>
      <c r="M122" s="30"/>
      <c r="N122" s="30"/>
      <c r="O122" s="287">
        <f t="shared" si="23"/>
        <v>0</v>
      </c>
      <c r="P122" s="287">
        <f t="shared" si="24"/>
        <v>0</v>
      </c>
      <c r="Q122" s="288"/>
      <c r="R122" s="243"/>
      <c r="S122" s="385" t="str">
        <f t="shared" si="15"/>
        <v/>
      </c>
    </row>
    <row r="123" spans="2:19" hidden="1">
      <c r="B123" s="609" t="s">
        <v>168</v>
      </c>
      <c r="C123" s="610"/>
      <c r="D123" s="648" t="s">
        <v>260</v>
      </c>
      <c r="E123" s="602"/>
      <c r="F123" s="603">
        <v>20</v>
      </c>
      <c r="G123" s="604">
        <v>1.1100000000000001</v>
      </c>
      <c r="H123" s="608">
        <f t="shared" si="27"/>
        <v>17.1495</v>
      </c>
      <c r="I123" s="675">
        <v>0</v>
      </c>
      <c r="J123" s="675"/>
      <c r="K123" s="606">
        <f t="shared" si="22"/>
        <v>0</v>
      </c>
      <c r="L123" s="607" t="s">
        <v>16</v>
      </c>
      <c r="M123" s="30"/>
      <c r="N123" s="30"/>
      <c r="O123" s="287">
        <f t="shared" si="23"/>
        <v>0</v>
      </c>
      <c r="P123" s="287">
        <f t="shared" si="24"/>
        <v>0</v>
      </c>
      <c r="Q123" s="288"/>
      <c r="R123" s="243"/>
      <c r="S123" s="385" t="str">
        <f t="shared" si="15"/>
        <v/>
      </c>
    </row>
    <row r="124" spans="2:19" hidden="1">
      <c r="B124" s="609" t="s">
        <v>1921</v>
      </c>
      <c r="C124" s="610" t="s">
        <v>212</v>
      </c>
      <c r="D124" s="611" t="s">
        <v>1922</v>
      </c>
      <c r="E124" s="602"/>
      <c r="F124" s="603">
        <v>20</v>
      </c>
      <c r="G124" s="604">
        <v>1.73</v>
      </c>
      <c r="H124" s="608">
        <f t="shared" si="27"/>
        <v>26.728499999999997</v>
      </c>
      <c r="I124" s="675">
        <v>48.71</v>
      </c>
      <c r="J124" s="675">
        <f t="shared" si="26"/>
        <v>75.438500000000005</v>
      </c>
      <c r="K124" s="606">
        <f t="shared" si="22"/>
        <v>91.54</v>
      </c>
      <c r="L124" s="607" t="s">
        <v>16</v>
      </c>
      <c r="M124" s="30"/>
      <c r="N124" s="30"/>
      <c r="O124" s="287">
        <f t="shared" si="23"/>
        <v>0</v>
      </c>
      <c r="P124" s="287">
        <f t="shared" si="24"/>
        <v>0</v>
      </c>
      <c r="Q124" s="288"/>
      <c r="R124" s="243"/>
      <c r="S124" s="385" t="str">
        <f t="shared" si="15"/>
        <v/>
      </c>
    </row>
    <row r="125" spans="2:19" hidden="1">
      <c r="B125" s="609" t="s">
        <v>1915</v>
      </c>
      <c r="C125" s="610" t="s">
        <v>212</v>
      </c>
      <c r="D125" s="611" t="s">
        <v>1923</v>
      </c>
      <c r="E125" s="602"/>
      <c r="F125" s="603">
        <v>20</v>
      </c>
      <c r="G125" s="604">
        <v>1.7250000000000001</v>
      </c>
      <c r="H125" s="608">
        <f t="shared" si="27"/>
        <v>26.651250000000001</v>
      </c>
      <c r="I125" s="675">
        <v>64.550000000000011</v>
      </c>
      <c r="J125" s="675">
        <f t="shared" si="26"/>
        <v>91.201250000000016</v>
      </c>
      <c r="K125" s="606">
        <f t="shared" si="22"/>
        <v>110.67</v>
      </c>
      <c r="L125" s="607" t="s">
        <v>16</v>
      </c>
      <c r="M125" s="30"/>
      <c r="N125" s="30"/>
      <c r="O125" s="287">
        <f t="shared" si="23"/>
        <v>0</v>
      </c>
      <c r="P125" s="287">
        <f t="shared" si="24"/>
        <v>0</v>
      </c>
      <c r="Q125" s="288"/>
      <c r="R125" s="243"/>
      <c r="S125" s="385" t="str">
        <f t="shared" si="15"/>
        <v/>
      </c>
    </row>
    <row r="126" spans="2:19" hidden="1">
      <c r="B126" s="609" t="s">
        <v>1797</v>
      </c>
      <c r="C126" s="610" t="s">
        <v>212</v>
      </c>
      <c r="D126" s="611" t="s">
        <v>1924</v>
      </c>
      <c r="E126" s="602"/>
      <c r="F126" s="639">
        <v>15</v>
      </c>
      <c r="G126" s="604">
        <f>ROUND(1.5*1.5,4)</f>
        <v>2.25</v>
      </c>
      <c r="H126" s="608">
        <f t="shared" si="27"/>
        <v>26.887499999999999</v>
      </c>
      <c r="I126" s="675">
        <v>12.666666666666668</v>
      </c>
      <c r="J126" s="675">
        <f t="shared" si="21"/>
        <v>39.554166666666667</v>
      </c>
      <c r="K126" s="606">
        <f t="shared" si="22"/>
        <v>48</v>
      </c>
      <c r="L126" s="607" t="s">
        <v>16</v>
      </c>
      <c r="M126" s="30"/>
      <c r="N126" s="30"/>
      <c r="O126" s="287">
        <f t="shared" si="23"/>
        <v>0</v>
      </c>
      <c r="P126" s="287">
        <f t="shared" si="24"/>
        <v>0</v>
      </c>
      <c r="Q126" s="288"/>
      <c r="R126" s="243"/>
      <c r="S126" s="385" t="str">
        <f t="shared" si="15"/>
        <v/>
      </c>
    </row>
    <row r="127" spans="2:19" hidden="1">
      <c r="B127" s="609" t="s">
        <v>1919</v>
      </c>
      <c r="C127" s="610" t="s">
        <v>212</v>
      </c>
      <c r="D127" s="611" t="s">
        <v>1925</v>
      </c>
      <c r="E127" s="602"/>
      <c r="F127" s="603">
        <v>20</v>
      </c>
      <c r="G127" s="604">
        <v>1.5</v>
      </c>
      <c r="H127" s="605">
        <f t="shared" ref="H127" si="28">IF(F127=0,0,IF(F127&lt;=30,(0.7*F127+1.45)*G127,((0.7*30+1.45)+0.58*(F127-30))*G127))</f>
        <v>23.174999999999997</v>
      </c>
      <c r="I127" s="675">
        <v>107.99</v>
      </c>
      <c r="J127" s="675">
        <f>IF(ISBLANK(I127),"",SUM(H127:I127))</f>
        <v>131.16499999999999</v>
      </c>
      <c r="K127" s="606">
        <f t="shared" si="22"/>
        <v>159.16999999999999</v>
      </c>
      <c r="L127" s="607" t="s">
        <v>16</v>
      </c>
      <c r="M127" s="30"/>
      <c r="N127" s="30"/>
      <c r="O127" s="287">
        <f t="shared" si="23"/>
        <v>0</v>
      </c>
      <c r="P127" s="287">
        <f t="shared" si="24"/>
        <v>0</v>
      </c>
      <c r="Q127" s="288"/>
      <c r="R127" s="243"/>
      <c r="S127" s="385" t="str">
        <f t="shared" si="15"/>
        <v/>
      </c>
    </row>
    <row r="128" spans="2:19" hidden="1">
      <c r="B128" s="609" t="s">
        <v>1781</v>
      </c>
      <c r="C128" s="610" t="s">
        <v>212</v>
      </c>
      <c r="D128" s="611" t="s">
        <v>513</v>
      </c>
      <c r="E128" s="602"/>
      <c r="F128" s="603"/>
      <c r="G128" s="604"/>
      <c r="H128" s="605"/>
      <c r="I128" s="686">
        <v>0.83</v>
      </c>
      <c r="J128" s="675">
        <f t="shared" ref="J128:J137" si="29">IF(ISBLANK(I128),"",SUM(H128:I128))</f>
        <v>0.83</v>
      </c>
      <c r="K128" s="606">
        <f t="shared" si="22"/>
        <v>1.01</v>
      </c>
      <c r="L128" s="607" t="s">
        <v>16</v>
      </c>
      <c r="M128" s="30"/>
      <c r="N128" s="30"/>
      <c r="O128" s="287">
        <f t="shared" si="23"/>
        <v>0</v>
      </c>
      <c r="P128" s="287">
        <f t="shared" si="24"/>
        <v>0</v>
      </c>
      <c r="Q128" s="288"/>
      <c r="R128" s="392"/>
      <c r="S128" s="385" t="str">
        <f t="shared" si="15"/>
        <v/>
      </c>
    </row>
    <row r="129" spans="2:20" hidden="1">
      <c r="B129" s="609" t="s">
        <v>1782</v>
      </c>
      <c r="C129" s="610" t="s">
        <v>212</v>
      </c>
      <c r="D129" s="611" t="s">
        <v>514</v>
      </c>
      <c r="E129" s="602"/>
      <c r="F129" s="639">
        <v>15</v>
      </c>
      <c r="G129" s="673">
        <v>1.95</v>
      </c>
      <c r="H129" s="608">
        <f>IF(F129&lt;=30,(0.7*F129+1.45)*G129,((0.7*30+1.45)+0.58*(F129-30))*G129)</f>
        <v>23.302499999999998</v>
      </c>
      <c r="I129" s="675">
        <v>17.39</v>
      </c>
      <c r="J129" s="675">
        <f t="shared" si="29"/>
        <v>40.692499999999995</v>
      </c>
      <c r="K129" s="606">
        <f t="shared" si="22"/>
        <v>49.38</v>
      </c>
      <c r="L129" s="607" t="s">
        <v>16</v>
      </c>
      <c r="M129" s="30"/>
      <c r="N129" s="30"/>
      <c r="O129" s="287">
        <f t="shared" si="23"/>
        <v>0</v>
      </c>
      <c r="P129" s="287">
        <f t="shared" si="24"/>
        <v>0</v>
      </c>
      <c r="Q129" s="288"/>
      <c r="R129" s="243"/>
      <c r="S129" s="385" t="str">
        <f t="shared" si="15"/>
        <v/>
      </c>
    </row>
    <row r="130" spans="2:20" hidden="1">
      <c r="B130" s="609" t="s">
        <v>1784</v>
      </c>
      <c r="C130" s="610" t="s">
        <v>212</v>
      </c>
      <c r="D130" s="611" t="s">
        <v>515</v>
      </c>
      <c r="E130" s="602"/>
      <c r="F130" s="639">
        <v>15</v>
      </c>
      <c r="G130" s="673">
        <v>1.98</v>
      </c>
      <c r="H130" s="608">
        <f>IF(F130&lt;=30,(0.7*F130+1.45)*G130,((0.7*30+1.45)+0.58*(F130-30))*G130)</f>
        <v>23.660999999999998</v>
      </c>
      <c r="I130" s="675">
        <v>20.67</v>
      </c>
      <c r="J130" s="675">
        <f t="shared" si="29"/>
        <v>44.331000000000003</v>
      </c>
      <c r="K130" s="606">
        <f t="shared" si="22"/>
        <v>53.8</v>
      </c>
      <c r="L130" s="607" t="s">
        <v>16</v>
      </c>
      <c r="M130" s="30"/>
      <c r="N130" s="30"/>
      <c r="O130" s="287">
        <f t="shared" si="23"/>
        <v>0</v>
      </c>
      <c r="P130" s="287">
        <f t="shared" si="24"/>
        <v>0</v>
      </c>
      <c r="Q130" s="288"/>
      <c r="R130" s="243"/>
      <c r="S130" s="385" t="str">
        <f t="shared" si="15"/>
        <v/>
      </c>
    </row>
    <row r="131" spans="2:20">
      <c r="B131" s="609" t="s">
        <v>1800</v>
      </c>
      <c r="C131" s="610" t="s">
        <v>212</v>
      </c>
      <c r="D131" s="611" t="s">
        <v>208</v>
      </c>
      <c r="E131" s="602"/>
      <c r="F131" s="639"/>
      <c r="G131" s="604">
        <v>0</v>
      </c>
      <c r="H131" s="605">
        <v>0</v>
      </c>
      <c r="I131" s="675">
        <v>3.87</v>
      </c>
      <c r="J131" s="675">
        <f t="shared" si="29"/>
        <v>3.87</v>
      </c>
      <c r="K131" s="606">
        <f t="shared" si="22"/>
        <v>4.7</v>
      </c>
      <c r="L131" s="607" t="s">
        <v>18</v>
      </c>
      <c r="M131" s="30">
        <v>2268.2800000000002</v>
      </c>
      <c r="N131" s="30">
        <v>4.7</v>
      </c>
      <c r="O131" s="287">
        <f t="shared" si="23"/>
        <v>10660.92</v>
      </c>
      <c r="P131" s="287">
        <f t="shared" si="24"/>
        <v>10660.92</v>
      </c>
      <c r="Q131" s="288"/>
      <c r="R131" s="243" t="s">
        <v>174</v>
      </c>
      <c r="S131" s="385" t="str">
        <f t="shared" si="15"/>
        <v>x</v>
      </c>
      <c r="T131" s="3" t="s">
        <v>174</v>
      </c>
    </row>
    <row r="132" spans="2:20" hidden="1">
      <c r="B132" s="609" t="s">
        <v>1788</v>
      </c>
      <c r="C132" s="610" t="s">
        <v>212</v>
      </c>
      <c r="D132" s="611" t="s">
        <v>190</v>
      </c>
      <c r="E132" s="602"/>
      <c r="F132" s="639">
        <v>0</v>
      </c>
      <c r="G132" s="604"/>
      <c r="H132" s="605">
        <v>0</v>
      </c>
      <c r="I132" s="675">
        <v>3.38</v>
      </c>
      <c r="J132" s="675">
        <f t="shared" si="29"/>
        <v>3.38</v>
      </c>
      <c r="K132" s="606">
        <f t="shared" si="22"/>
        <v>4.0999999999999996</v>
      </c>
      <c r="L132" s="607" t="s">
        <v>18</v>
      </c>
      <c r="M132" s="30"/>
      <c r="N132" s="30"/>
      <c r="O132" s="287">
        <f t="shared" si="23"/>
        <v>0</v>
      </c>
      <c r="P132" s="287">
        <f t="shared" si="24"/>
        <v>0</v>
      </c>
      <c r="Q132" s="288"/>
      <c r="R132" s="243"/>
      <c r="S132" s="385" t="str">
        <f t="shared" si="15"/>
        <v/>
      </c>
    </row>
    <row r="133" spans="2:20" hidden="1">
      <c r="B133" s="609" t="s">
        <v>1802</v>
      </c>
      <c r="C133" s="610" t="s">
        <v>212</v>
      </c>
      <c r="D133" s="611" t="s">
        <v>207</v>
      </c>
      <c r="E133" s="602"/>
      <c r="F133" s="639">
        <v>0</v>
      </c>
      <c r="G133" s="604">
        <v>0</v>
      </c>
      <c r="H133" s="605">
        <v>0</v>
      </c>
      <c r="I133" s="675">
        <v>0.2</v>
      </c>
      <c r="J133" s="675">
        <f t="shared" si="29"/>
        <v>0.2</v>
      </c>
      <c r="K133" s="606">
        <f t="shared" si="22"/>
        <v>0.24</v>
      </c>
      <c r="L133" s="607" t="s">
        <v>18</v>
      </c>
      <c r="M133" s="30"/>
      <c r="N133" s="30"/>
      <c r="O133" s="287">
        <f t="shared" si="23"/>
        <v>0</v>
      </c>
      <c r="P133" s="287">
        <f t="shared" si="24"/>
        <v>0</v>
      </c>
      <c r="Q133" s="288"/>
      <c r="R133" s="243"/>
      <c r="S133" s="385" t="str">
        <f t="shared" si="15"/>
        <v/>
      </c>
    </row>
    <row r="134" spans="2:20" hidden="1">
      <c r="B134" s="609" t="s">
        <v>1935</v>
      </c>
      <c r="C134" s="610" t="s">
        <v>843</v>
      </c>
      <c r="D134" s="611" t="s">
        <v>210</v>
      </c>
      <c r="E134" s="602"/>
      <c r="F134" s="639">
        <v>0</v>
      </c>
      <c r="G134" s="604"/>
      <c r="H134" s="605">
        <v>0</v>
      </c>
      <c r="I134" s="675">
        <v>1.65</v>
      </c>
      <c r="J134" s="675">
        <f>IF(ISBLANK(I134),"",SUM(H134:I134))</f>
        <v>1.65</v>
      </c>
      <c r="K134" s="606">
        <f t="shared" si="22"/>
        <v>2</v>
      </c>
      <c r="L134" s="607" t="s">
        <v>18</v>
      </c>
      <c r="M134" s="30"/>
      <c r="N134" s="30"/>
      <c r="O134" s="287">
        <f t="shared" si="23"/>
        <v>0</v>
      </c>
      <c r="P134" s="287">
        <f t="shared" si="24"/>
        <v>0</v>
      </c>
      <c r="Q134" s="288"/>
      <c r="R134" s="243"/>
      <c r="S134" s="385" t="str">
        <f t="shared" si="15"/>
        <v/>
      </c>
    </row>
    <row r="135" spans="2:20" hidden="1">
      <c r="B135" s="628">
        <v>450000</v>
      </c>
      <c r="C135" s="655" t="s">
        <v>212</v>
      </c>
      <c r="D135" s="611" t="s">
        <v>215</v>
      </c>
      <c r="E135" s="602"/>
      <c r="F135" s="639">
        <v>15</v>
      </c>
      <c r="G135" s="673">
        <v>1.98</v>
      </c>
      <c r="H135" s="608">
        <f t="shared" ref="H135:H137" si="30">IF(F135&lt;=30,(0.7*F135+1.45)*G135,((0.7*30+1.45)+0.58*(F135-30))*G135)</f>
        <v>23.660999999999998</v>
      </c>
      <c r="I135" s="675">
        <v>10.64</v>
      </c>
      <c r="J135" s="675">
        <f t="shared" si="29"/>
        <v>34.301000000000002</v>
      </c>
      <c r="K135" s="606">
        <f t="shared" si="22"/>
        <v>41.62</v>
      </c>
      <c r="L135" s="607" t="s">
        <v>16</v>
      </c>
      <c r="M135" s="30"/>
      <c r="N135" s="30"/>
      <c r="O135" s="287">
        <f t="shared" si="23"/>
        <v>0</v>
      </c>
      <c r="P135" s="287">
        <f t="shared" si="24"/>
        <v>0</v>
      </c>
      <c r="Q135" s="288"/>
      <c r="R135" s="243"/>
      <c r="S135" s="385" t="str">
        <f t="shared" si="15"/>
        <v/>
      </c>
    </row>
    <row r="136" spans="2:20" hidden="1">
      <c r="B136" s="609">
        <v>541000</v>
      </c>
      <c r="C136" s="610" t="s">
        <v>212</v>
      </c>
      <c r="D136" s="611" t="s">
        <v>217</v>
      </c>
      <c r="E136" s="602"/>
      <c r="F136" s="603">
        <v>15</v>
      </c>
      <c r="G136" s="604">
        <v>2.02</v>
      </c>
      <c r="H136" s="608">
        <f t="shared" si="30"/>
        <v>24.138999999999999</v>
      </c>
      <c r="I136" s="675">
        <v>19.562999999999999</v>
      </c>
      <c r="J136" s="675">
        <f t="shared" si="29"/>
        <v>43.701999999999998</v>
      </c>
      <c r="K136" s="606">
        <f t="shared" si="22"/>
        <v>53.03</v>
      </c>
      <c r="L136" s="607" t="s">
        <v>16</v>
      </c>
      <c r="M136" s="30"/>
      <c r="N136" s="30"/>
      <c r="O136" s="287">
        <f t="shared" si="23"/>
        <v>0</v>
      </c>
      <c r="P136" s="287">
        <f t="shared" si="24"/>
        <v>0</v>
      </c>
      <c r="Q136" s="288"/>
      <c r="R136" s="243"/>
      <c r="S136" s="385" t="str">
        <f t="shared" si="15"/>
        <v/>
      </c>
    </row>
    <row r="137" spans="2:20" hidden="1">
      <c r="B137" s="609" t="s">
        <v>1785</v>
      </c>
      <c r="C137" s="610" t="s">
        <v>212</v>
      </c>
      <c r="D137" s="611" t="s">
        <v>214</v>
      </c>
      <c r="E137" s="602"/>
      <c r="F137" s="639">
        <v>15</v>
      </c>
      <c r="G137" s="673">
        <v>2.1</v>
      </c>
      <c r="H137" s="608">
        <f t="shared" si="30"/>
        <v>25.094999999999999</v>
      </c>
      <c r="I137" s="675">
        <v>20.67</v>
      </c>
      <c r="J137" s="675">
        <f t="shared" si="29"/>
        <v>45.765000000000001</v>
      </c>
      <c r="K137" s="606">
        <f t="shared" si="22"/>
        <v>55.54</v>
      </c>
      <c r="L137" s="607" t="s">
        <v>16</v>
      </c>
      <c r="M137" s="30"/>
      <c r="N137" s="30"/>
      <c r="O137" s="287">
        <f t="shared" si="23"/>
        <v>0</v>
      </c>
      <c r="P137" s="287">
        <f t="shared" si="24"/>
        <v>0</v>
      </c>
      <c r="Q137" s="288"/>
      <c r="R137" s="243"/>
      <c r="S137" s="385" t="str">
        <f t="shared" si="15"/>
        <v/>
      </c>
    </row>
    <row r="138" spans="2:20" hidden="1">
      <c r="B138" s="609">
        <v>542000</v>
      </c>
      <c r="C138" s="610" t="s">
        <v>212</v>
      </c>
      <c r="D138" s="611" t="s">
        <v>473</v>
      </c>
      <c r="E138" s="602"/>
      <c r="F138" s="639"/>
      <c r="G138" s="604"/>
      <c r="H138" s="605">
        <f>SUM(H139:H140)</f>
        <v>30.29111</v>
      </c>
      <c r="I138" s="675">
        <v>43.65</v>
      </c>
      <c r="J138" s="675">
        <f t="shared" ref="J138" si="31">IF(ISBLANK(I138),"",SUM(H138:I138))</f>
        <v>73.941109999999995</v>
      </c>
      <c r="K138" s="606">
        <f t="shared" si="22"/>
        <v>89.73</v>
      </c>
      <c r="L138" s="607" t="s">
        <v>16</v>
      </c>
      <c r="M138" s="30"/>
      <c r="N138" s="30"/>
      <c r="O138" s="287">
        <f t="shared" si="23"/>
        <v>0</v>
      </c>
      <c r="P138" s="287">
        <f t="shared" si="24"/>
        <v>0</v>
      </c>
      <c r="Q138" s="288"/>
      <c r="R138" s="243"/>
      <c r="S138" s="385" t="str">
        <f t="shared" si="15"/>
        <v/>
      </c>
    </row>
    <row r="139" spans="2:20" hidden="1">
      <c r="B139" s="609" t="s">
        <v>168</v>
      </c>
      <c r="C139" s="610"/>
      <c r="D139" s="648" t="s">
        <v>218</v>
      </c>
      <c r="E139" s="602"/>
      <c r="F139" s="603">
        <v>500</v>
      </c>
      <c r="G139" s="604">
        <v>3.6999999999999998E-2</v>
      </c>
      <c r="H139" s="605">
        <f>IF(F139&lt;=30,(0.51*F139+4.28)*G139,((0.51*30+4.28)+0.42*(F139-30))*G139)</f>
        <v>8.0282599999999995</v>
      </c>
      <c r="I139" s="675">
        <v>0</v>
      </c>
      <c r="J139" s="675"/>
      <c r="K139" s="606">
        <f t="shared" si="22"/>
        <v>0</v>
      </c>
      <c r="L139" s="607" t="s">
        <v>777</v>
      </c>
      <c r="M139" s="429"/>
      <c r="N139" s="430"/>
      <c r="O139" s="287">
        <f t="shared" si="23"/>
        <v>0</v>
      </c>
      <c r="P139" s="287">
        <f t="shared" si="24"/>
        <v>0</v>
      </c>
      <c r="Q139" s="288"/>
      <c r="R139" s="315" t="str">
        <f>IF(P138&gt;0,"xy","")</f>
        <v/>
      </c>
      <c r="S139" s="385" t="str">
        <f t="shared" si="15"/>
        <v/>
      </c>
    </row>
    <row r="140" spans="2:20" hidden="1">
      <c r="B140" s="609" t="s">
        <v>168</v>
      </c>
      <c r="C140" s="610"/>
      <c r="D140" s="648" t="s">
        <v>219</v>
      </c>
      <c r="E140" s="602"/>
      <c r="F140" s="639">
        <v>15</v>
      </c>
      <c r="G140" s="604">
        <v>1.863</v>
      </c>
      <c r="H140" s="605">
        <f>IF(F140&lt;=30,(0.7*F140+1.45)*G140,((0.7*30+1.45)+0.58*(F140-30))*G140)</f>
        <v>22.26285</v>
      </c>
      <c r="I140" s="675">
        <v>0</v>
      </c>
      <c r="J140" s="675"/>
      <c r="K140" s="606">
        <f t="shared" si="22"/>
        <v>0</v>
      </c>
      <c r="L140" s="607" t="s">
        <v>777</v>
      </c>
      <c r="M140" s="429"/>
      <c r="N140" s="430"/>
      <c r="O140" s="287">
        <f t="shared" si="23"/>
        <v>0</v>
      </c>
      <c r="P140" s="287">
        <f t="shared" si="24"/>
        <v>0</v>
      </c>
      <c r="Q140" s="288"/>
      <c r="R140" s="315" t="str">
        <f>IF(P138&gt;0,"xy","")</f>
        <v/>
      </c>
      <c r="S140" s="385" t="str">
        <f t="shared" si="15"/>
        <v/>
      </c>
    </row>
    <row r="141" spans="2:20" hidden="1">
      <c r="B141" s="609">
        <v>543000</v>
      </c>
      <c r="C141" s="610" t="s">
        <v>212</v>
      </c>
      <c r="D141" s="611" t="s">
        <v>474</v>
      </c>
      <c r="E141" s="602"/>
      <c r="F141" s="639"/>
      <c r="G141" s="604"/>
      <c r="H141" s="605">
        <f>SUM(H142:H143)</f>
        <v>33.981650000000002</v>
      </c>
      <c r="I141" s="675">
        <v>54.569999999999993</v>
      </c>
      <c r="J141" s="675">
        <f t="shared" ref="J141:J176" si="32">IF(ISBLANK(I141),"",SUM(H141:I141))</f>
        <v>88.551649999999995</v>
      </c>
      <c r="K141" s="606">
        <f t="shared" si="22"/>
        <v>107.46</v>
      </c>
      <c r="L141" s="607" t="s">
        <v>16</v>
      </c>
      <c r="M141" s="30"/>
      <c r="N141" s="30"/>
      <c r="O141" s="287">
        <f t="shared" si="23"/>
        <v>0</v>
      </c>
      <c r="P141" s="287">
        <f t="shared" si="24"/>
        <v>0</v>
      </c>
      <c r="Q141" s="288"/>
      <c r="R141" s="243"/>
      <c r="S141" s="385" t="str">
        <f t="shared" si="15"/>
        <v/>
      </c>
    </row>
    <row r="142" spans="2:20" hidden="1">
      <c r="B142" s="609" t="s">
        <v>168</v>
      </c>
      <c r="C142" s="610"/>
      <c r="D142" s="648" t="s">
        <v>218</v>
      </c>
      <c r="E142" s="602"/>
      <c r="F142" s="603">
        <v>500</v>
      </c>
      <c r="G142" s="604">
        <v>5.5E-2</v>
      </c>
      <c r="H142" s="605">
        <f>IF(F142&lt;=30,(0.51*F142+4.28)*G142,((0.51*30+4.28)+0.42*(F142-30))*G142)</f>
        <v>11.933900000000001</v>
      </c>
      <c r="I142" s="675">
        <v>0</v>
      </c>
      <c r="J142" s="675"/>
      <c r="K142" s="606">
        <f t="shared" si="22"/>
        <v>0</v>
      </c>
      <c r="L142" s="607" t="s">
        <v>777</v>
      </c>
      <c r="M142" s="429"/>
      <c r="N142" s="430"/>
      <c r="O142" s="287">
        <f t="shared" si="23"/>
        <v>0</v>
      </c>
      <c r="P142" s="287">
        <f t="shared" si="24"/>
        <v>0</v>
      </c>
      <c r="Q142" s="288"/>
      <c r="R142" s="315" t="str">
        <f>IF(P141&gt;0,"xy","")</f>
        <v/>
      </c>
      <c r="S142" s="385" t="str">
        <f t="shared" si="15"/>
        <v/>
      </c>
    </row>
    <row r="143" spans="2:20" hidden="1">
      <c r="B143" s="609" t="s">
        <v>168</v>
      </c>
      <c r="C143" s="610"/>
      <c r="D143" s="648" t="s">
        <v>219</v>
      </c>
      <c r="E143" s="602"/>
      <c r="F143" s="639">
        <v>15</v>
      </c>
      <c r="G143" s="604">
        <v>1.845</v>
      </c>
      <c r="H143" s="605">
        <f>IF(F143&lt;=30,(0.7*F143+1.45)*G143,((0.7*30+1.45)+0.58*(F143-30))*G143)</f>
        <v>22.047749999999997</v>
      </c>
      <c r="I143" s="675">
        <v>0</v>
      </c>
      <c r="J143" s="675"/>
      <c r="K143" s="606">
        <f t="shared" si="22"/>
        <v>0</v>
      </c>
      <c r="L143" s="607" t="s">
        <v>777</v>
      </c>
      <c r="M143" s="429"/>
      <c r="N143" s="430"/>
      <c r="O143" s="287">
        <f t="shared" si="23"/>
        <v>0</v>
      </c>
      <c r="P143" s="287">
        <f t="shared" si="24"/>
        <v>0</v>
      </c>
      <c r="Q143" s="288"/>
      <c r="R143" s="315" t="str">
        <f>IF(P141&gt;0,"xy","")</f>
        <v/>
      </c>
      <c r="S143" s="385" t="str">
        <f t="shared" si="15"/>
        <v/>
      </c>
    </row>
    <row r="144" spans="2:20" hidden="1">
      <c r="B144" s="609">
        <v>544000</v>
      </c>
      <c r="C144" s="610" t="s">
        <v>212</v>
      </c>
      <c r="D144" s="611" t="s">
        <v>475</v>
      </c>
      <c r="E144" s="602"/>
      <c r="F144" s="639"/>
      <c r="G144" s="604"/>
      <c r="H144" s="605">
        <f>SUM(H145:H146)</f>
        <v>36.664630000000002</v>
      </c>
      <c r="I144" s="675">
        <v>58.42</v>
      </c>
      <c r="J144" s="675">
        <f t="shared" si="32"/>
        <v>95.084630000000004</v>
      </c>
      <c r="K144" s="606">
        <f t="shared" si="22"/>
        <v>115.39</v>
      </c>
      <c r="L144" s="607" t="s">
        <v>16</v>
      </c>
      <c r="M144" s="30"/>
      <c r="N144" s="30"/>
      <c r="O144" s="287">
        <f t="shared" si="23"/>
        <v>0</v>
      </c>
      <c r="P144" s="287">
        <f t="shared" si="24"/>
        <v>0</v>
      </c>
      <c r="Q144" s="288"/>
      <c r="R144" s="243"/>
      <c r="S144" s="385" t="str">
        <f t="shared" si="15"/>
        <v/>
      </c>
    </row>
    <row r="145" spans="2:19" hidden="1">
      <c r="B145" s="609" t="s">
        <v>168</v>
      </c>
      <c r="C145" s="610"/>
      <c r="D145" s="648" t="s">
        <v>218</v>
      </c>
      <c r="E145" s="602"/>
      <c r="F145" s="603">
        <v>500</v>
      </c>
      <c r="G145" s="604">
        <v>7.0999999999999994E-2</v>
      </c>
      <c r="H145" s="605">
        <f>IF(F145&lt;=30,(0.51*F145+4.28)*G145,((0.51*30+4.28)+0.42*(F145-30))*G145)</f>
        <v>15.40558</v>
      </c>
      <c r="I145" s="675">
        <v>0</v>
      </c>
      <c r="J145" s="675"/>
      <c r="K145" s="606">
        <f t="shared" si="22"/>
        <v>0</v>
      </c>
      <c r="L145" s="607" t="s">
        <v>777</v>
      </c>
      <c r="M145" s="429"/>
      <c r="N145" s="430"/>
      <c r="O145" s="287">
        <f t="shared" si="23"/>
        <v>0</v>
      </c>
      <c r="P145" s="287">
        <f t="shared" si="24"/>
        <v>0</v>
      </c>
      <c r="Q145" s="288"/>
      <c r="R145" s="315" t="str">
        <f>IF(P144&gt;0,"xy","")</f>
        <v/>
      </c>
      <c r="S145" s="385" t="str">
        <f t="shared" si="15"/>
        <v/>
      </c>
    </row>
    <row r="146" spans="2:19" hidden="1">
      <c r="B146" s="609" t="s">
        <v>168</v>
      </c>
      <c r="C146" s="610"/>
      <c r="D146" s="648" t="s">
        <v>219</v>
      </c>
      <c r="E146" s="602"/>
      <c r="F146" s="639">
        <v>15</v>
      </c>
      <c r="G146" s="604">
        <v>1.7789999999999999</v>
      </c>
      <c r="H146" s="605">
        <f>IF(F146&lt;=30,(0.7*F146+1.45)*G146,((0.7*30+1.45)+0.58*(F146-30))*G146)</f>
        <v>21.259049999999998</v>
      </c>
      <c r="I146" s="675">
        <v>0</v>
      </c>
      <c r="J146" s="675"/>
      <c r="K146" s="606">
        <f t="shared" si="22"/>
        <v>0</v>
      </c>
      <c r="L146" s="607" t="s">
        <v>777</v>
      </c>
      <c r="M146" s="429"/>
      <c r="N146" s="430"/>
      <c r="O146" s="287">
        <f t="shared" si="23"/>
        <v>0</v>
      </c>
      <c r="P146" s="287">
        <f t="shared" si="24"/>
        <v>0</v>
      </c>
      <c r="Q146" s="288"/>
      <c r="R146" s="315" t="str">
        <f>IF(P144&gt;0,"xy","")</f>
        <v/>
      </c>
      <c r="S146" s="385" t="str">
        <f t="shared" si="15"/>
        <v/>
      </c>
    </row>
    <row r="147" spans="2:19" hidden="1">
      <c r="B147" s="609">
        <v>545000</v>
      </c>
      <c r="C147" s="610" t="s">
        <v>212</v>
      </c>
      <c r="D147" s="611" t="s">
        <v>476</v>
      </c>
      <c r="E147" s="602"/>
      <c r="F147" s="639"/>
      <c r="G147" s="604"/>
      <c r="H147" s="605">
        <f>SUM(H148:H149)</f>
        <v>40.150139999999993</v>
      </c>
      <c r="I147" s="675">
        <v>68.180000000000007</v>
      </c>
      <c r="J147" s="675">
        <f t="shared" si="32"/>
        <v>108.33014</v>
      </c>
      <c r="K147" s="606">
        <f t="shared" si="22"/>
        <v>131.46</v>
      </c>
      <c r="L147" s="607" t="s">
        <v>16</v>
      </c>
      <c r="M147" s="30"/>
      <c r="N147" s="30"/>
      <c r="O147" s="287">
        <f t="shared" si="23"/>
        <v>0</v>
      </c>
      <c r="P147" s="287">
        <f t="shared" si="24"/>
        <v>0</v>
      </c>
      <c r="Q147" s="288"/>
      <c r="R147" s="243"/>
      <c r="S147" s="385" t="str">
        <f t="shared" si="15"/>
        <v/>
      </c>
    </row>
    <row r="148" spans="2:19" hidden="1">
      <c r="B148" s="609" t="s">
        <v>168</v>
      </c>
      <c r="C148" s="610"/>
      <c r="D148" s="648" t="s">
        <v>218</v>
      </c>
      <c r="E148" s="602"/>
      <c r="F148" s="603">
        <v>500</v>
      </c>
      <c r="G148" s="604">
        <v>8.7999999999999995E-2</v>
      </c>
      <c r="H148" s="605">
        <f>IF(F148&lt;=30,(0.51*F148+4.28)*G148,((0.51*30+4.28)+0.42*(F148-30))*G148)</f>
        <v>19.094239999999999</v>
      </c>
      <c r="I148" s="675">
        <v>0</v>
      </c>
      <c r="J148" s="675"/>
      <c r="K148" s="606">
        <f t="shared" si="22"/>
        <v>0</v>
      </c>
      <c r="L148" s="607" t="s">
        <v>777</v>
      </c>
      <c r="M148" s="429"/>
      <c r="N148" s="430"/>
      <c r="O148" s="287">
        <f t="shared" si="23"/>
        <v>0</v>
      </c>
      <c r="P148" s="287">
        <f t="shared" si="24"/>
        <v>0</v>
      </c>
      <c r="Q148" s="288"/>
      <c r="R148" s="315" t="str">
        <f>IF(P147&gt;0,"xy","")</f>
        <v/>
      </c>
      <c r="S148" s="385" t="str">
        <f t="shared" si="15"/>
        <v/>
      </c>
    </row>
    <row r="149" spans="2:19" hidden="1">
      <c r="B149" s="609" t="s">
        <v>168</v>
      </c>
      <c r="C149" s="610"/>
      <c r="D149" s="648" t="s">
        <v>219</v>
      </c>
      <c r="E149" s="602"/>
      <c r="F149" s="639">
        <v>15</v>
      </c>
      <c r="G149" s="604">
        <v>1.762</v>
      </c>
      <c r="H149" s="605">
        <f>IF(F149&lt;=30,(0.7*F149+1.45)*G149,((0.7*30+1.45)+0.58*(F149-30))*G149)</f>
        <v>21.055899999999998</v>
      </c>
      <c r="I149" s="675">
        <v>0</v>
      </c>
      <c r="J149" s="675"/>
      <c r="K149" s="606">
        <f t="shared" si="22"/>
        <v>0</v>
      </c>
      <c r="L149" s="607" t="s">
        <v>777</v>
      </c>
      <c r="M149" s="429"/>
      <c r="N149" s="430"/>
      <c r="O149" s="287">
        <f t="shared" si="23"/>
        <v>0</v>
      </c>
      <c r="P149" s="287">
        <f t="shared" si="24"/>
        <v>0</v>
      </c>
      <c r="Q149" s="288"/>
      <c r="R149" s="315" t="str">
        <f>IF(P147&gt;0,"xy","")</f>
        <v/>
      </c>
      <c r="S149" s="385" t="str">
        <f t="shared" si="15"/>
        <v/>
      </c>
    </row>
    <row r="150" spans="2:19" hidden="1">
      <c r="B150" s="609">
        <v>546000</v>
      </c>
      <c r="C150" s="610" t="s">
        <v>212</v>
      </c>
      <c r="D150" s="611" t="s">
        <v>477</v>
      </c>
      <c r="E150" s="602"/>
      <c r="F150" s="639"/>
      <c r="G150" s="604"/>
      <c r="H150" s="605">
        <f>SUM(H151:H152)</f>
        <v>43.635649999999998</v>
      </c>
      <c r="I150" s="675">
        <v>77.95</v>
      </c>
      <c r="J150" s="675">
        <f t="shared" si="32"/>
        <v>121.58565</v>
      </c>
      <c r="K150" s="606">
        <f t="shared" si="22"/>
        <v>147.54</v>
      </c>
      <c r="L150" s="607" t="s">
        <v>16</v>
      </c>
      <c r="M150" s="30"/>
      <c r="N150" s="30"/>
      <c r="O150" s="287">
        <f t="shared" si="23"/>
        <v>0</v>
      </c>
      <c r="P150" s="287">
        <f t="shared" si="24"/>
        <v>0</v>
      </c>
      <c r="Q150" s="288"/>
      <c r="R150" s="243"/>
      <c r="S150" s="385" t="str">
        <f t="shared" si="15"/>
        <v/>
      </c>
    </row>
    <row r="151" spans="2:19" hidden="1">
      <c r="B151" s="609" t="s">
        <v>168</v>
      </c>
      <c r="C151" s="610"/>
      <c r="D151" s="648" t="s">
        <v>218</v>
      </c>
      <c r="E151" s="602"/>
      <c r="F151" s="603">
        <v>500</v>
      </c>
      <c r="G151" s="604">
        <v>0.105</v>
      </c>
      <c r="H151" s="605">
        <f>IF(F151&lt;=30,(0.51*F151+4.28)*G151,((0.51*30+4.28)+0.42*(F151-30))*G151)</f>
        <v>22.782900000000001</v>
      </c>
      <c r="I151" s="675">
        <v>0</v>
      </c>
      <c r="J151" s="675"/>
      <c r="K151" s="606">
        <f t="shared" si="22"/>
        <v>0</v>
      </c>
      <c r="L151" s="607" t="s">
        <v>777</v>
      </c>
      <c r="M151" s="429"/>
      <c r="N151" s="430"/>
      <c r="O151" s="287">
        <f t="shared" si="23"/>
        <v>0</v>
      </c>
      <c r="P151" s="287">
        <f t="shared" si="24"/>
        <v>0</v>
      </c>
      <c r="Q151" s="288"/>
      <c r="R151" s="315" t="str">
        <f>IF(P150&gt;0,"xy","")</f>
        <v/>
      </c>
      <c r="S151" s="385" t="str">
        <f t="shared" si="15"/>
        <v/>
      </c>
    </row>
    <row r="152" spans="2:19" hidden="1">
      <c r="B152" s="609" t="s">
        <v>168</v>
      </c>
      <c r="C152" s="610"/>
      <c r="D152" s="648" t="s">
        <v>219</v>
      </c>
      <c r="E152" s="602"/>
      <c r="F152" s="639">
        <v>15</v>
      </c>
      <c r="G152" s="604">
        <v>1.7450000000000001</v>
      </c>
      <c r="H152" s="605">
        <f>IF(F152&lt;=30,(0.7*F152+1.45)*G152,((0.7*30+1.45)+0.58*(F152-30))*G152)</f>
        <v>20.85275</v>
      </c>
      <c r="I152" s="675">
        <v>0</v>
      </c>
      <c r="J152" s="675"/>
      <c r="K152" s="606">
        <f t="shared" si="22"/>
        <v>0</v>
      </c>
      <c r="L152" s="607" t="s">
        <v>777</v>
      </c>
      <c r="M152" s="429"/>
      <c r="N152" s="430"/>
      <c r="O152" s="287">
        <f t="shared" si="23"/>
        <v>0</v>
      </c>
      <c r="P152" s="287">
        <f t="shared" si="24"/>
        <v>0</v>
      </c>
      <c r="Q152" s="288"/>
      <c r="R152" s="315" t="str">
        <f>IF(P150&gt;0,"xy","")</f>
        <v/>
      </c>
      <c r="S152" s="385" t="str">
        <f t="shared" si="15"/>
        <v/>
      </c>
    </row>
    <row r="153" spans="2:19" hidden="1">
      <c r="B153" s="609">
        <v>547000</v>
      </c>
      <c r="C153" s="610" t="s">
        <v>212</v>
      </c>
      <c r="D153" s="611" t="s">
        <v>478</v>
      </c>
      <c r="E153" s="602"/>
      <c r="F153" s="639"/>
      <c r="G153" s="604"/>
      <c r="H153" s="605">
        <f>SUM(H154:H155)</f>
        <v>46.904179999999997</v>
      </c>
      <c r="I153" s="675">
        <v>88.300000000000011</v>
      </c>
      <c r="J153" s="675">
        <f t="shared" si="32"/>
        <v>135.20418000000001</v>
      </c>
      <c r="K153" s="606">
        <f t="shared" si="22"/>
        <v>164.07</v>
      </c>
      <c r="L153" s="607" t="s">
        <v>16</v>
      </c>
      <c r="M153" s="30"/>
      <c r="N153" s="30"/>
      <c r="O153" s="287">
        <f t="shared" si="23"/>
        <v>0</v>
      </c>
      <c r="P153" s="287">
        <f t="shared" si="24"/>
        <v>0</v>
      </c>
      <c r="Q153" s="288"/>
      <c r="R153" s="243"/>
      <c r="S153" s="385" t="str">
        <f t="shared" si="15"/>
        <v/>
      </c>
    </row>
    <row r="154" spans="2:19" hidden="1">
      <c r="B154" s="609" t="s">
        <v>168</v>
      </c>
      <c r="C154" s="610"/>
      <c r="D154" s="648" t="s">
        <v>218</v>
      </c>
      <c r="E154" s="602"/>
      <c r="F154" s="603">
        <v>500</v>
      </c>
      <c r="G154" s="604">
        <v>0.121</v>
      </c>
      <c r="H154" s="605">
        <f>IF(F154&lt;=30,(0.51*F154+4.28)*G154,((0.51*30+4.28)+0.42*(F154-30))*G154)</f>
        <v>26.254580000000001</v>
      </c>
      <c r="I154" s="675">
        <v>0</v>
      </c>
      <c r="J154" s="675"/>
      <c r="K154" s="606">
        <f t="shared" si="22"/>
        <v>0</v>
      </c>
      <c r="L154" s="607" t="s">
        <v>777</v>
      </c>
      <c r="M154" s="429"/>
      <c r="N154" s="430"/>
      <c r="O154" s="287">
        <f t="shared" si="23"/>
        <v>0</v>
      </c>
      <c r="P154" s="287">
        <f t="shared" si="24"/>
        <v>0</v>
      </c>
      <c r="Q154" s="288"/>
      <c r="R154" s="315" t="str">
        <f>IF(P153&gt;0,"xy","")</f>
        <v/>
      </c>
      <c r="S154" s="385" t="str">
        <f t="shared" si="15"/>
        <v/>
      </c>
    </row>
    <row r="155" spans="2:19" hidden="1">
      <c r="B155" s="609" t="s">
        <v>168</v>
      </c>
      <c r="C155" s="610"/>
      <c r="D155" s="648" t="s">
        <v>219</v>
      </c>
      <c r="E155" s="602"/>
      <c r="F155" s="639">
        <v>15</v>
      </c>
      <c r="G155" s="604">
        <v>1.728</v>
      </c>
      <c r="H155" s="605">
        <f>IF(F155&lt;=30,(0.7*F155+1.45)*G155,((0.7*30+1.45)+0.58*(F155-30))*G155)</f>
        <v>20.6496</v>
      </c>
      <c r="I155" s="675">
        <v>0</v>
      </c>
      <c r="J155" s="675"/>
      <c r="K155" s="606">
        <f t="shared" si="22"/>
        <v>0</v>
      </c>
      <c r="L155" s="607" t="s">
        <v>777</v>
      </c>
      <c r="M155" s="429"/>
      <c r="N155" s="430"/>
      <c r="O155" s="287">
        <f t="shared" si="23"/>
        <v>0</v>
      </c>
      <c r="P155" s="287">
        <f t="shared" si="24"/>
        <v>0</v>
      </c>
      <c r="Q155" s="288"/>
      <c r="R155" s="315" t="str">
        <f>IF(P153&gt;0,"xy","")</f>
        <v/>
      </c>
      <c r="S155" s="385" t="str">
        <f t="shared" ref="S155:S218" si="33">IF(R155="x","x",IF(R155="y","x",IF(R155="xy","x",IF(P155&gt;0,"x",""))))</f>
        <v/>
      </c>
    </row>
    <row r="156" spans="2:19" hidden="1">
      <c r="B156" s="609">
        <v>542100</v>
      </c>
      <c r="C156" s="610" t="s">
        <v>212</v>
      </c>
      <c r="D156" s="611" t="s">
        <v>479</v>
      </c>
      <c r="E156" s="602"/>
      <c r="F156" s="639"/>
      <c r="G156" s="604"/>
      <c r="H156" s="605">
        <f>SUM(H157:H159)</f>
        <v>36.025089999999992</v>
      </c>
      <c r="I156" s="675">
        <v>42.48</v>
      </c>
      <c r="J156" s="675">
        <f t="shared" si="32"/>
        <v>78.505089999999996</v>
      </c>
      <c r="K156" s="606">
        <f t="shared" si="22"/>
        <v>95.27</v>
      </c>
      <c r="L156" s="607" t="s">
        <v>16</v>
      </c>
      <c r="M156" s="30"/>
      <c r="N156" s="30"/>
      <c r="O156" s="287">
        <f t="shared" si="23"/>
        <v>0</v>
      </c>
      <c r="P156" s="287">
        <f t="shared" si="24"/>
        <v>0</v>
      </c>
      <c r="Q156" s="288"/>
      <c r="R156" s="243"/>
      <c r="S156" s="385" t="str">
        <f t="shared" si="33"/>
        <v/>
      </c>
    </row>
    <row r="157" spans="2:19" hidden="1">
      <c r="B157" s="609" t="s">
        <v>168</v>
      </c>
      <c r="C157" s="610"/>
      <c r="D157" s="648" t="s">
        <v>218</v>
      </c>
      <c r="E157" s="602"/>
      <c r="F157" s="603">
        <v>500</v>
      </c>
      <c r="G157" s="604">
        <v>3.6999999999999998E-2</v>
      </c>
      <c r="H157" s="605">
        <f>IF(F157&lt;=30,(0.51*F157+4.28)*G157,((0.51*30+4.28)+0.42*(F157-30))*G157)</f>
        <v>8.0282599999999995</v>
      </c>
      <c r="I157" s="675">
        <v>0</v>
      </c>
      <c r="J157" s="675"/>
      <c r="K157" s="606">
        <f t="shared" si="22"/>
        <v>0</v>
      </c>
      <c r="L157" s="607" t="s">
        <v>777</v>
      </c>
      <c r="M157" s="429"/>
      <c r="N157" s="430"/>
      <c r="O157" s="287">
        <f t="shared" si="23"/>
        <v>0</v>
      </c>
      <c r="P157" s="287">
        <f t="shared" si="24"/>
        <v>0</v>
      </c>
      <c r="Q157" s="288"/>
      <c r="R157" s="315" t="str">
        <f>IF(P156&gt;0,"xy","")</f>
        <v/>
      </c>
      <c r="S157" s="385" t="str">
        <f t="shared" si="33"/>
        <v/>
      </c>
    </row>
    <row r="158" spans="2:19" hidden="1">
      <c r="B158" s="609" t="s">
        <v>168</v>
      </c>
      <c r="C158" s="610"/>
      <c r="D158" s="648" t="s">
        <v>219</v>
      </c>
      <c r="E158" s="602"/>
      <c r="F158" s="639">
        <v>10</v>
      </c>
      <c r="G158" s="604">
        <v>1.9</v>
      </c>
      <c r="H158" s="605">
        <f>IF(F158&lt;=30,(0.7*F158+1.45)*G158,((0.7*30+1.45)+0.58*(F158-30))*G158)</f>
        <v>16.054999999999996</v>
      </c>
      <c r="I158" s="675">
        <v>0</v>
      </c>
      <c r="J158" s="675"/>
      <c r="K158" s="606">
        <f t="shared" si="22"/>
        <v>0</v>
      </c>
      <c r="L158" s="607" t="s">
        <v>777</v>
      </c>
      <c r="M158" s="429"/>
      <c r="N158" s="430"/>
      <c r="O158" s="287">
        <f t="shared" si="23"/>
        <v>0</v>
      </c>
      <c r="P158" s="287">
        <f t="shared" si="24"/>
        <v>0</v>
      </c>
      <c r="Q158" s="288"/>
      <c r="R158" s="315" t="str">
        <f>IF(P156&gt;0,"xy","")</f>
        <v/>
      </c>
      <c r="S158" s="385" t="str">
        <f t="shared" si="33"/>
        <v/>
      </c>
    </row>
    <row r="159" spans="2:19" hidden="1">
      <c r="B159" s="609" t="s">
        <v>168</v>
      </c>
      <c r="C159" s="610"/>
      <c r="D159" s="648" t="s">
        <v>220</v>
      </c>
      <c r="E159" s="602"/>
      <c r="F159" s="639">
        <v>5</v>
      </c>
      <c r="G159" s="604">
        <v>1.863</v>
      </c>
      <c r="H159" s="605">
        <f>IF(F159&lt;=30,(0.7*F159+2.91)*G159,((0.7*30+2.91)+0.58*(F159-30))*G159)</f>
        <v>11.94183</v>
      </c>
      <c r="I159" s="675">
        <v>0</v>
      </c>
      <c r="J159" s="675"/>
      <c r="K159" s="606">
        <f t="shared" si="22"/>
        <v>0</v>
      </c>
      <c r="L159" s="607" t="s">
        <v>777</v>
      </c>
      <c r="M159" s="429"/>
      <c r="N159" s="430"/>
      <c r="O159" s="287">
        <f t="shared" si="23"/>
        <v>0</v>
      </c>
      <c r="P159" s="287">
        <f t="shared" si="24"/>
        <v>0</v>
      </c>
      <c r="Q159" s="288"/>
      <c r="R159" s="315" t="str">
        <f>IF(P156&gt;0,"xy","")</f>
        <v/>
      </c>
      <c r="S159" s="385" t="str">
        <f t="shared" si="33"/>
        <v/>
      </c>
    </row>
    <row r="160" spans="2:19" hidden="1">
      <c r="B160" s="609">
        <v>543100</v>
      </c>
      <c r="C160" s="610" t="s">
        <v>212</v>
      </c>
      <c r="D160" s="611" t="s">
        <v>480</v>
      </c>
      <c r="E160" s="602"/>
      <c r="F160" s="639"/>
      <c r="G160" s="604"/>
      <c r="H160" s="605">
        <f>SUM(H161:H163)</f>
        <v>39.815349999999995</v>
      </c>
      <c r="I160" s="675">
        <v>49.89</v>
      </c>
      <c r="J160" s="675">
        <f t="shared" si="32"/>
        <v>89.705349999999996</v>
      </c>
      <c r="K160" s="606">
        <f t="shared" si="22"/>
        <v>108.86</v>
      </c>
      <c r="L160" s="607" t="s">
        <v>16</v>
      </c>
      <c r="M160" s="30"/>
      <c r="N160" s="30"/>
      <c r="O160" s="287">
        <f t="shared" si="23"/>
        <v>0</v>
      </c>
      <c r="P160" s="287">
        <f t="shared" si="24"/>
        <v>0</v>
      </c>
      <c r="Q160" s="288"/>
      <c r="R160" s="243"/>
      <c r="S160" s="385" t="str">
        <f t="shared" si="33"/>
        <v/>
      </c>
    </row>
    <row r="161" spans="2:19" hidden="1">
      <c r="B161" s="609" t="s">
        <v>168</v>
      </c>
      <c r="C161" s="610"/>
      <c r="D161" s="648" t="s">
        <v>218</v>
      </c>
      <c r="E161" s="602"/>
      <c r="F161" s="603">
        <v>500</v>
      </c>
      <c r="G161" s="604">
        <v>5.5E-2</v>
      </c>
      <c r="H161" s="605">
        <f>IF(F161&lt;=30,(0.51*F161+4.28)*G161,((0.51*30+4.28)+0.42*(F161-30))*G161)</f>
        <v>11.933900000000001</v>
      </c>
      <c r="I161" s="675">
        <v>0</v>
      </c>
      <c r="J161" s="675"/>
      <c r="K161" s="606">
        <f t="shared" si="22"/>
        <v>0</v>
      </c>
      <c r="L161" s="607" t="s">
        <v>777</v>
      </c>
      <c r="M161" s="429"/>
      <c r="N161" s="430"/>
      <c r="O161" s="287">
        <f t="shared" si="23"/>
        <v>0</v>
      </c>
      <c r="P161" s="287">
        <f t="shared" si="24"/>
        <v>0</v>
      </c>
      <c r="Q161" s="288"/>
      <c r="R161" s="315" t="str">
        <f>IF(P160&gt;0,"xy","")</f>
        <v/>
      </c>
      <c r="S161" s="385" t="str">
        <f t="shared" si="33"/>
        <v/>
      </c>
    </row>
    <row r="162" spans="2:19" hidden="1">
      <c r="B162" s="609" t="s">
        <v>168</v>
      </c>
      <c r="C162" s="610"/>
      <c r="D162" s="648" t="s">
        <v>219</v>
      </c>
      <c r="E162" s="602"/>
      <c r="F162" s="639">
        <v>10</v>
      </c>
      <c r="G162" s="604">
        <v>1.9</v>
      </c>
      <c r="H162" s="605">
        <f>IF(F162&lt;=30,(0.7*F162+1.45)*G162,((0.7*30+1.45)+0.58*(F162-30))*G162)</f>
        <v>16.054999999999996</v>
      </c>
      <c r="I162" s="675">
        <v>0</v>
      </c>
      <c r="J162" s="675"/>
      <c r="K162" s="606">
        <f t="shared" si="22"/>
        <v>0</v>
      </c>
      <c r="L162" s="607" t="s">
        <v>777</v>
      </c>
      <c r="M162" s="429"/>
      <c r="N162" s="430"/>
      <c r="O162" s="287">
        <f t="shared" si="23"/>
        <v>0</v>
      </c>
      <c r="P162" s="287">
        <f t="shared" si="24"/>
        <v>0</v>
      </c>
      <c r="Q162" s="288"/>
      <c r="R162" s="315" t="str">
        <f>IF(P160&gt;0,"xy","")</f>
        <v/>
      </c>
      <c r="S162" s="385" t="str">
        <f t="shared" si="33"/>
        <v/>
      </c>
    </row>
    <row r="163" spans="2:19" hidden="1">
      <c r="B163" s="609" t="s">
        <v>168</v>
      </c>
      <c r="C163" s="610"/>
      <c r="D163" s="648" t="s">
        <v>220</v>
      </c>
      <c r="E163" s="602"/>
      <c r="F163" s="639">
        <v>5</v>
      </c>
      <c r="G163" s="604">
        <v>1.845</v>
      </c>
      <c r="H163" s="605">
        <f>IF(F163&lt;=30,(0.7*F163+2.91)*G163,((0.7*30+2.91)+0.58*(F163-30))*G163)</f>
        <v>11.826449999999999</v>
      </c>
      <c r="I163" s="675">
        <v>0</v>
      </c>
      <c r="J163" s="675"/>
      <c r="K163" s="606">
        <f t="shared" si="22"/>
        <v>0</v>
      </c>
      <c r="L163" s="607" t="s">
        <v>777</v>
      </c>
      <c r="M163" s="429"/>
      <c r="N163" s="430"/>
      <c r="O163" s="287">
        <f t="shared" si="23"/>
        <v>0</v>
      </c>
      <c r="P163" s="287">
        <f t="shared" si="24"/>
        <v>0</v>
      </c>
      <c r="Q163" s="288"/>
      <c r="R163" s="315" t="str">
        <f>IF(P160&gt;0,"xy","")</f>
        <v/>
      </c>
      <c r="S163" s="385" t="str">
        <f t="shared" si="33"/>
        <v/>
      </c>
    </row>
    <row r="164" spans="2:19" hidden="1">
      <c r="B164" s="609">
        <v>544100</v>
      </c>
      <c r="C164" s="610" t="s">
        <v>212</v>
      </c>
      <c r="D164" s="611" t="s">
        <v>481</v>
      </c>
      <c r="E164" s="602"/>
      <c r="F164" s="639"/>
      <c r="G164" s="604"/>
      <c r="H164" s="605">
        <f>SUM(H165:H167)</f>
        <v>42.441470000000002</v>
      </c>
      <c r="I164" s="675">
        <v>51.28</v>
      </c>
      <c r="J164" s="675">
        <f t="shared" si="32"/>
        <v>93.721470000000011</v>
      </c>
      <c r="K164" s="606">
        <f t="shared" si="22"/>
        <v>113.73</v>
      </c>
      <c r="L164" s="607" t="s">
        <v>16</v>
      </c>
      <c r="M164" s="30"/>
      <c r="N164" s="30"/>
      <c r="O164" s="287">
        <f t="shared" si="23"/>
        <v>0</v>
      </c>
      <c r="P164" s="287">
        <f t="shared" si="24"/>
        <v>0</v>
      </c>
      <c r="Q164" s="288"/>
      <c r="R164" s="243"/>
      <c r="S164" s="385" t="str">
        <f t="shared" si="33"/>
        <v/>
      </c>
    </row>
    <row r="165" spans="2:19" hidden="1">
      <c r="B165" s="609" t="s">
        <v>168</v>
      </c>
      <c r="C165" s="610"/>
      <c r="D165" s="648" t="s">
        <v>218</v>
      </c>
      <c r="E165" s="602"/>
      <c r="F165" s="603">
        <v>500</v>
      </c>
      <c r="G165" s="604">
        <v>7.0999999999999994E-2</v>
      </c>
      <c r="H165" s="605">
        <f>IF(F165&lt;=30,(0.51*F165+4.28)*G165,((0.51*30+4.28)+0.42*(F165-30))*G165)</f>
        <v>15.40558</v>
      </c>
      <c r="I165" s="675">
        <v>0</v>
      </c>
      <c r="J165" s="675"/>
      <c r="K165" s="606">
        <f t="shared" si="22"/>
        <v>0</v>
      </c>
      <c r="L165" s="607" t="s">
        <v>777</v>
      </c>
      <c r="M165" s="429"/>
      <c r="N165" s="430"/>
      <c r="O165" s="287">
        <f t="shared" si="23"/>
        <v>0</v>
      </c>
      <c r="P165" s="287">
        <f t="shared" si="24"/>
        <v>0</v>
      </c>
      <c r="Q165" s="288"/>
      <c r="R165" s="315" t="str">
        <f>IF(P164&gt;0,"xy","")</f>
        <v/>
      </c>
      <c r="S165" s="385" t="str">
        <f t="shared" si="33"/>
        <v/>
      </c>
    </row>
    <row r="166" spans="2:19" hidden="1">
      <c r="B166" s="609" t="s">
        <v>168</v>
      </c>
      <c r="C166" s="610"/>
      <c r="D166" s="648" t="s">
        <v>219</v>
      </c>
      <c r="E166" s="602"/>
      <c r="F166" s="639">
        <v>10</v>
      </c>
      <c r="G166" s="604">
        <v>1.85</v>
      </c>
      <c r="H166" s="605">
        <f>IF(F166&lt;=30,(0.7*F166+1.45)*G166,((0.7*30+1.45)+0.58*(F166-30))*G166)</f>
        <v>15.6325</v>
      </c>
      <c r="I166" s="675">
        <v>0</v>
      </c>
      <c r="J166" s="675"/>
      <c r="K166" s="606">
        <f t="shared" si="22"/>
        <v>0</v>
      </c>
      <c r="L166" s="607" t="s">
        <v>777</v>
      </c>
      <c r="M166" s="429"/>
      <c r="N166" s="430"/>
      <c r="O166" s="287">
        <f t="shared" si="23"/>
        <v>0</v>
      </c>
      <c r="P166" s="287">
        <f t="shared" si="24"/>
        <v>0</v>
      </c>
      <c r="Q166" s="288"/>
      <c r="R166" s="315" t="str">
        <f>IF(P164&gt;0,"xy","")</f>
        <v/>
      </c>
      <c r="S166" s="385" t="str">
        <f t="shared" si="33"/>
        <v/>
      </c>
    </row>
    <row r="167" spans="2:19" hidden="1">
      <c r="B167" s="609" t="s">
        <v>168</v>
      </c>
      <c r="C167" s="610"/>
      <c r="D167" s="648" t="s">
        <v>220</v>
      </c>
      <c r="E167" s="602"/>
      <c r="F167" s="639">
        <v>5</v>
      </c>
      <c r="G167" s="604">
        <v>1.7789999999999999</v>
      </c>
      <c r="H167" s="605">
        <f>IF(F167&lt;=30,(0.7*F167+2.91)*G167,((0.7*30+2.91)+0.58*(F167-30))*G167)</f>
        <v>11.40339</v>
      </c>
      <c r="I167" s="675">
        <v>0</v>
      </c>
      <c r="J167" s="675"/>
      <c r="K167" s="606">
        <f t="shared" si="22"/>
        <v>0</v>
      </c>
      <c r="L167" s="607" t="s">
        <v>777</v>
      </c>
      <c r="M167" s="429"/>
      <c r="N167" s="430"/>
      <c r="O167" s="287">
        <f t="shared" si="23"/>
        <v>0</v>
      </c>
      <c r="P167" s="287">
        <f t="shared" si="24"/>
        <v>0</v>
      </c>
      <c r="Q167" s="288"/>
      <c r="R167" s="315" t="str">
        <f>IF(P164&gt;0,"xy","")</f>
        <v/>
      </c>
      <c r="S167" s="385" t="str">
        <f t="shared" si="33"/>
        <v/>
      </c>
    </row>
    <row r="168" spans="2:19" hidden="1">
      <c r="B168" s="609">
        <v>545100</v>
      </c>
      <c r="C168" s="610" t="s">
        <v>212</v>
      </c>
      <c r="D168" s="611" t="s">
        <v>482</v>
      </c>
      <c r="E168" s="602"/>
      <c r="F168" s="639"/>
      <c r="G168" s="604"/>
      <c r="H168" s="605">
        <f>SUM(H169:H171)</f>
        <v>46.021160000000002</v>
      </c>
      <c r="I168" s="675">
        <v>58.29</v>
      </c>
      <c r="J168" s="675">
        <f t="shared" si="32"/>
        <v>104.31116</v>
      </c>
      <c r="K168" s="606">
        <f t="shared" si="22"/>
        <v>126.58</v>
      </c>
      <c r="L168" s="607" t="s">
        <v>16</v>
      </c>
      <c r="M168" s="30"/>
      <c r="N168" s="30"/>
      <c r="O168" s="287">
        <f t="shared" si="23"/>
        <v>0</v>
      </c>
      <c r="P168" s="287">
        <f t="shared" si="24"/>
        <v>0</v>
      </c>
      <c r="Q168" s="288"/>
      <c r="R168" s="243"/>
      <c r="S168" s="385" t="str">
        <f t="shared" si="33"/>
        <v/>
      </c>
    </row>
    <row r="169" spans="2:19" hidden="1">
      <c r="B169" s="609" t="s">
        <v>168</v>
      </c>
      <c r="C169" s="610"/>
      <c r="D169" s="648" t="s">
        <v>218</v>
      </c>
      <c r="E169" s="602"/>
      <c r="F169" s="603">
        <v>500</v>
      </c>
      <c r="G169" s="604">
        <v>8.7999999999999995E-2</v>
      </c>
      <c r="H169" s="605">
        <f>IF(F169&lt;=30,(0.51*F169+4.28)*G169,((0.51*30+4.28)+0.42*(F169-30))*G169)</f>
        <v>19.094239999999999</v>
      </c>
      <c r="I169" s="675">
        <v>0</v>
      </c>
      <c r="J169" s="675"/>
      <c r="K169" s="606">
        <f t="shared" si="22"/>
        <v>0</v>
      </c>
      <c r="L169" s="607" t="s">
        <v>777</v>
      </c>
      <c r="M169" s="429"/>
      <c r="N169" s="430"/>
      <c r="O169" s="287">
        <f t="shared" si="23"/>
        <v>0</v>
      </c>
      <c r="P169" s="287">
        <f t="shared" si="24"/>
        <v>0</v>
      </c>
      <c r="Q169" s="288"/>
      <c r="R169" s="315" t="str">
        <f>IF(P168&gt;0,"xy","")</f>
        <v/>
      </c>
      <c r="S169" s="385" t="str">
        <f t="shared" si="33"/>
        <v/>
      </c>
    </row>
    <row r="170" spans="2:19" hidden="1">
      <c r="B170" s="609" t="s">
        <v>168</v>
      </c>
      <c r="C170" s="610"/>
      <c r="D170" s="648" t="s">
        <v>219</v>
      </c>
      <c r="E170" s="602"/>
      <c r="F170" s="639">
        <v>10</v>
      </c>
      <c r="G170" s="604">
        <v>1.85</v>
      </c>
      <c r="H170" s="605">
        <f>IF(F170&lt;=30,(0.7*F170+1.45)*G170,((0.7*30+1.45)+0.58*(F170-30))*G170)</f>
        <v>15.6325</v>
      </c>
      <c r="I170" s="675">
        <v>0</v>
      </c>
      <c r="J170" s="675"/>
      <c r="K170" s="606">
        <f t="shared" si="22"/>
        <v>0</v>
      </c>
      <c r="L170" s="607" t="s">
        <v>777</v>
      </c>
      <c r="M170" s="429"/>
      <c r="N170" s="430"/>
      <c r="O170" s="287">
        <f t="shared" si="23"/>
        <v>0</v>
      </c>
      <c r="P170" s="287">
        <f t="shared" si="24"/>
        <v>0</v>
      </c>
      <c r="Q170" s="288"/>
      <c r="R170" s="315" t="str">
        <f>IF(P169&gt;0,"xy","")</f>
        <v/>
      </c>
      <c r="S170" s="385" t="str">
        <f t="shared" si="33"/>
        <v/>
      </c>
    </row>
    <row r="171" spans="2:19" hidden="1">
      <c r="B171" s="609" t="s">
        <v>168</v>
      </c>
      <c r="C171" s="610"/>
      <c r="D171" s="648" t="s">
        <v>220</v>
      </c>
      <c r="E171" s="602"/>
      <c r="F171" s="639">
        <v>5</v>
      </c>
      <c r="G171" s="604">
        <v>1.762</v>
      </c>
      <c r="H171" s="605">
        <f>IF(F171&lt;=30,(0.7*F171+2.91)*G171,((0.7*30+2.91)+0.58*(F171-30))*G171)</f>
        <v>11.294420000000001</v>
      </c>
      <c r="I171" s="675">
        <v>0</v>
      </c>
      <c r="J171" s="675"/>
      <c r="K171" s="606">
        <f t="shared" si="22"/>
        <v>0</v>
      </c>
      <c r="L171" s="607" t="s">
        <v>777</v>
      </c>
      <c r="M171" s="429"/>
      <c r="N171" s="430"/>
      <c r="O171" s="287">
        <f t="shared" si="23"/>
        <v>0</v>
      </c>
      <c r="P171" s="287">
        <f t="shared" si="24"/>
        <v>0</v>
      </c>
      <c r="Q171" s="288"/>
      <c r="R171" s="315" t="str">
        <f>IF(P169&gt;0,"xy","")</f>
        <v/>
      </c>
      <c r="S171" s="385" t="str">
        <f t="shared" si="33"/>
        <v/>
      </c>
    </row>
    <row r="172" spans="2:19" hidden="1">
      <c r="B172" s="609">
        <v>546100</v>
      </c>
      <c r="C172" s="610" t="s">
        <v>212</v>
      </c>
      <c r="D172" s="611" t="s">
        <v>483</v>
      </c>
      <c r="E172" s="602"/>
      <c r="F172" s="639"/>
      <c r="G172" s="604"/>
      <c r="H172" s="605">
        <f>SUM(H173:H175)</f>
        <v>49.600850000000008</v>
      </c>
      <c r="I172" s="675">
        <v>65.290000000000006</v>
      </c>
      <c r="J172" s="675">
        <f t="shared" si="32"/>
        <v>114.89085000000001</v>
      </c>
      <c r="K172" s="606">
        <f t="shared" si="22"/>
        <v>139.41999999999999</v>
      </c>
      <c r="L172" s="607" t="s">
        <v>16</v>
      </c>
      <c r="M172" s="30"/>
      <c r="N172" s="30"/>
      <c r="O172" s="287">
        <f t="shared" si="23"/>
        <v>0</v>
      </c>
      <c r="P172" s="287">
        <f t="shared" si="24"/>
        <v>0</v>
      </c>
      <c r="Q172" s="288"/>
      <c r="R172" s="315" t="str">
        <f>IF(P169&gt;0,"xy","")</f>
        <v/>
      </c>
      <c r="S172" s="385" t="str">
        <f t="shared" si="33"/>
        <v/>
      </c>
    </row>
    <row r="173" spans="2:19" hidden="1">
      <c r="B173" s="609" t="s">
        <v>168</v>
      </c>
      <c r="C173" s="610"/>
      <c r="D173" s="648" t="s">
        <v>218</v>
      </c>
      <c r="E173" s="602"/>
      <c r="F173" s="603">
        <v>500</v>
      </c>
      <c r="G173" s="604">
        <v>0.105</v>
      </c>
      <c r="H173" s="605">
        <f>IF(F173&lt;=30,(0.51*F173+4.28)*G173,((0.51*30+4.28)+0.42*(F173-30))*G173)</f>
        <v>22.782900000000001</v>
      </c>
      <c r="I173" s="675">
        <v>0</v>
      </c>
      <c r="J173" s="675"/>
      <c r="K173" s="606">
        <f t="shared" si="22"/>
        <v>0</v>
      </c>
      <c r="L173" s="607" t="s">
        <v>777</v>
      </c>
      <c r="M173" s="429"/>
      <c r="N173" s="430"/>
      <c r="O173" s="287">
        <f t="shared" si="23"/>
        <v>0</v>
      </c>
      <c r="P173" s="287">
        <f t="shared" si="24"/>
        <v>0</v>
      </c>
      <c r="Q173" s="288"/>
      <c r="R173" s="315" t="str">
        <f>IF(P172&gt;0,"xy","")</f>
        <v/>
      </c>
      <c r="S173" s="385" t="str">
        <f t="shared" si="33"/>
        <v/>
      </c>
    </row>
    <row r="174" spans="2:19" hidden="1">
      <c r="B174" s="609" t="s">
        <v>168</v>
      </c>
      <c r="C174" s="610"/>
      <c r="D174" s="648" t="s">
        <v>219</v>
      </c>
      <c r="E174" s="602"/>
      <c r="F174" s="639">
        <v>10</v>
      </c>
      <c r="G174" s="604">
        <v>1.85</v>
      </c>
      <c r="H174" s="605">
        <f>IF(F174&lt;=30,(0.7*F174+1.45)*G174,((0.7*30+1.45)+0.58*(F174-30))*G174)</f>
        <v>15.6325</v>
      </c>
      <c r="I174" s="675">
        <v>0</v>
      </c>
      <c r="J174" s="675"/>
      <c r="K174" s="606">
        <f t="shared" si="22"/>
        <v>0</v>
      </c>
      <c r="L174" s="607" t="s">
        <v>777</v>
      </c>
      <c r="M174" s="429"/>
      <c r="N174" s="430"/>
      <c r="O174" s="287">
        <f t="shared" si="23"/>
        <v>0</v>
      </c>
      <c r="P174" s="287">
        <f t="shared" si="24"/>
        <v>0</v>
      </c>
      <c r="Q174" s="288"/>
      <c r="R174" s="315" t="str">
        <f>IF(P172&gt;0,"xy","")</f>
        <v/>
      </c>
      <c r="S174" s="385" t="str">
        <f t="shared" si="33"/>
        <v/>
      </c>
    </row>
    <row r="175" spans="2:19" hidden="1">
      <c r="B175" s="609" t="s">
        <v>168</v>
      </c>
      <c r="C175" s="610"/>
      <c r="D175" s="648" t="s">
        <v>220</v>
      </c>
      <c r="E175" s="602"/>
      <c r="F175" s="639">
        <v>5</v>
      </c>
      <c r="G175" s="604">
        <v>1.7450000000000001</v>
      </c>
      <c r="H175" s="605">
        <f>IF(F175&lt;=30,(0.7*F175+2.91)*G175,((0.7*30+2.91)+0.58*(F175-30))*G175)</f>
        <v>11.185450000000001</v>
      </c>
      <c r="I175" s="675">
        <v>0</v>
      </c>
      <c r="J175" s="675"/>
      <c r="K175" s="606">
        <f t="shared" si="22"/>
        <v>0</v>
      </c>
      <c r="L175" s="607" t="s">
        <v>777</v>
      </c>
      <c r="M175" s="429"/>
      <c r="N175" s="430"/>
      <c r="O175" s="287">
        <f t="shared" si="23"/>
        <v>0</v>
      </c>
      <c r="P175" s="287">
        <f t="shared" si="24"/>
        <v>0</v>
      </c>
      <c r="Q175" s="288"/>
      <c r="R175" s="315" t="str">
        <f>IF(P172&gt;0,"xy","")</f>
        <v/>
      </c>
      <c r="S175" s="385" t="str">
        <f t="shared" si="33"/>
        <v/>
      </c>
    </row>
    <row r="176" spans="2:19" hidden="1">
      <c r="B176" s="609">
        <v>547100</v>
      </c>
      <c r="C176" s="610" t="s">
        <v>212</v>
      </c>
      <c r="D176" s="611" t="s">
        <v>484</v>
      </c>
      <c r="E176" s="602"/>
      <c r="F176" s="639"/>
      <c r="G176" s="604"/>
      <c r="H176" s="605">
        <f>SUM(H177:H179)</f>
        <v>52.963560000000001</v>
      </c>
      <c r="I176" s="675">
        <v>71.88000000000001</v>
      </c>
      <c r="J176" s="675">
        <f t="shared" si="32"/>
        <v>124.84356000000001</v>
      </c>
      <c r="K176" s="606">
        <f t="shared" si="22"/>
        <v>151.5</v>
      </c>
      <c r="L176" s="607" t="s">
        <v>16</v>
      </c>
      <c r="M176" s="30"/>
      <c r="N176" s="30"/>
      <c r="O176" s="287">
        <f t="shared" si="23"/>
        <v>0</v>
      </c>
      <c r="P176" s="287">
        <f t="shared" si="24"/>
        <v>0</v>
      </c>
      <c r="Q176" s="288"/>
      <c r="R176" s="243"/>
      <c r="S176" s="385" t="str">
        <f t="shared" si="33"/>
        <v/>
      </c>
    </row>
    <row r="177" spans="2:20" hidden="1">
      <c r="B177" s="609" t="s">
        <v>168</v>
      </c>
      <c r="C177" s="610"/>
      <c r="D177" s="648" t="s">
        <v>218</v>
      </c>
      <c r="E177" s="602"/>
      <c r="F177" s="603">
        <v>500</v>
      </c>
      <c r="G177" s="604">
        <v>0.121</v>
      </c>
      <c r="H177" s="605">
        <f>IF(F177&lt;=30,(0.51*F177+4.28)*G177,((0.51*30+4.28)+0.42*(F177-30))*G177)</f>
        <v>26.254580000000001</v>
      </c>
      <c r="I177" s="675">
        <v>0</v>
      </c>
      <c r="J177" s="675"/>
      <c r="K177" s="606">
        <f t="shared" si="22"/>
        <v>0</v>
      </c>
      <c r="L177" s="607" t="s">
        <v>777</v>
      </c>
      <c r="M177" s="429"/>
      <c r="N177" s="430"/>
      <c r="O177" s="287">
        <f t="shared" si="23"/>
        <v>0</v>
      </c>
      <c r="P177" s="287">
        <f t="shared" si="24"/>
        <v>0</v>
      </c>
      <c r="Q177" s="288"/>
      <c r="R177" s="315" t="str">
        <f>IF(P176&gt;0,"xy","")</f>
        <v/>
      </c>
      <c r="S177" s="385" t="str">
        <f t="shared" si="33"/>
        <v/>
      </c>
    </row>
    <row r="178" spans="2:20" hidden="1">
      <c r="B178" s="609" t="s">
        <v>168</v>
      </c>
      <c r="C178" s="610"/>
      <c r="D178" s="648" t="s">
        <v>219</v>
      </c>
      <c r="E178" s="602"/>
      <c r="F178" s="639">
        <v>10</v>
      </c>
      <c r="G178" s="604">
        <v>1.85</v>
      </c>
      <c r="H178" s="605">
        <f>IF(F178&lt;=30,(0.7*F178+1.45)*G178,((0.7*30+1.45)+0.58*(F178-30))*G178)</f>
        <v>15.6325</v>
      </c>
      <c r="I178" s="675">
        <v>0</v>
      </c>
      <c r="J178" s="675"/>
      <c r="K178" s="606">
        <f t="shared" si="22"/>
        <v>0</v>
      </c>
      <c r="L178" s="607" t="s">
        <v>777</v>
      </c>
      <c r="M178" s="429"/>
      <c r="N178" s="430"/>
      <c r="O178" s="287">
        <f t="shared" si="23"/>
        <v>0</v>
      </c>
      <c r="P178" s="287">
        <f t="shared" si="24"/>
        <v>0</v>
      </c>
      <c r="Q178" s="288"/>
      <c r="R178" s="315" t="str">
        <f>IF(P176&gt;0,"xy","")</f>
        <v/>
      </c>
      <c r="S178" s="385" t="str">
        <f t="shared" si="33"/>
        <v/>
      </c>
    </row>
    <row r="179" spans="2:20" hidden="1">
      <c r="B179" s="609" t="s">
        <v>168</v>
      </c>
      <c r="C179" s="610"/>
      <c r="D179" s="648" t="s">
        <v>220</v>
      </c>
      <c r="E179" s="602"/>
      <c r="F179" s="639">
        <v>5</v>
      </c>
      <c r="G179" s="604">
        <v>1.728</v>
      </c>
      <c r="H179" s="605">
        <f>IF(F179&lt;=30,(0.7*F179+2.91)*G179,((0.7*30+2.91)+0.58*(F179-30))*G179)</f>
        <v>11.07648</v>
      </c>
      <c r="I179" s="675">
        <v>0</v>
      </c>
      <c r="J179" s="675"/>
      <c r="K179" s="606">
        <f t="shared" si="22"/>
        <v>0</v>
      </c>
      <c r="L179" s="607" t="s">
        <v>777</v>
      </c>
      <c r="M179" s="429"/>
      <c r="N179" s="430"/>
      <c r="O179" s="287">
        <f t="shared" si="23"/>
        <v>0</v>
      </c>
      <c r="P179" s="287">
        <f t="shared" si="24"/>
        <v>0</v>
      </c>
      <c r="Q179" s="288"/>
      <c r="R179" s="315" t="str">
        <f>IF(P176&gt;0,"xy","")</f>
        <v/>
      </c>
      <c r="S179" s="385" t="str">
        <f t="shared" si="33"/>
        <v/>
      </c>
    </row>
    <row r="180" spans="2:20" hidden="1">
      <c r="B180" s="609" t="s">
        <v>1937</v>
      </c>
      <c r="C180" s="610" t="s">
        <v>212</v>
      </c>
      <c r="D180" s="611" t="s">
        <v>221</v>
      </c>
      <c r="E180" s="602"/>
      <c r="F180" s="639">
        <v>20</v>
      </c>
      <c r="G180" s="673">
        <v>2.2000000000000002</v>
      </c>
      <c r="H180" s="605">
        <f>IF(F180&lt;=30,(0.7*F180+1.45)*G180,((0.7*30+1.45)+0.58*(F180-30))*G180)</f>
        <v>33.99</v>
      </c>
      <c r="I180" s="675">
        <v>76.62</v>
      </c>
      <c r="J180" s="675">
        <f>IF(ISBLANK(I180),"",SUM(H180:I180))</f>
        <v>110.61000000000001</v>
      </c>
      <c r="K180" s="606">
        <f t="shared" si="22"/>
        <v>134.22999999999999</v>
      </c>
      <c r="L180" s="607" t="s">
        <v>16</v>
      </c>
      <c r="M180" s="30"/>
      <c r="N180" s="30"/>
      <c r="O180" s="287">
        <f t="shared" si="23"/>
        <v>0</v>
      </c>
      <c r="P180" s="287">
        <f t="shared" si="24"/>
        <v>0</v>
      </c>
      <c r="Q180" s="288"/>
      <c r="R180" s="243"/>
      <c r="S180" s="385" t="str">
        <f t="shared" si="33"/>
        <v/>
      </c>
    </row>
    <row r="181" spans="2:20" hidden="1">
      <c r="B181" s="609" t="s">
        <v>1840</v>
      </c>
      <c r="C181" s="610" t="s">
        <v>517</v>
      </c>
      <c r="D181" s="611" t="s">
        <v>799</v>
      </c>
      <c r="E181" s="602"/>
      <c r="F181" s="639">
        <v>10</v>
      </c>
      <c r="G181" s="673">
        <v>1.95</v>
      </c>
      <c r="H181" s="605">
        <f t="shared" ref="H181:H184" si="34">IF(F181&lt;=30,(0.7*F181+1.45)*G181,((0.7*30+1.45)+0.58*(F181-30))*G181)</f>
        <v>16.477499999999999</v>
      </c>
      <c r="I181" s="675">
        <v>72.11</v>
      </c>
      <c r="J181" s="675">
        <f>IF(ISBLANK(I181),"",SUM(H181:I181))</f>
        <v>88.587500000000006</v>
      </c>
      <c r="K181" s="606">
        <f t="shared" si="22"/>
        <v>107.5</v>
      </c>
      <c r="L181" s="607" t="s">
        <v>16</v>
      </c>
      <c r="M181" s="30"/>
      <c r="N181" s="30"/>
      <c r="O181" s="287">
        <f t="shared" si="23"/>
        <v>0</v>
      </c>
      <c r="P181" s="287">
        <f t="shared" si="24"/>
        <v>0</v>
      </c>
      <c r="Q181" s="288"/>
      <c r="R181" s="243"/>
      <c r="S181" s="385" t="str">
        <f t="shared" si="33"/>
        <v/>
      </c>
    </row>
    <row r="182" spans="2:20" hidden="1">
      <c r="B182" s="609" t="s">
        <v>1841</v>
      </c>
      <c r="C182" s="610" t="s">
        <v>517</v>
      </c>
      <c r="D182" s="611" t="s">
        <v>800</v>
      </c>
      <c r="E182" s="602"/>
      <c r="F182" s="639">
        <v>11</v>
      </c>
      <c r="G182" s="673">
        <v>2.1</v>
      </c>
      <c r="H182" s="605">
        <f t="shared" si="34"/>
        <v>19.214999999999996</v>
      </c>
      <c r="I182" s="675">
        <v>88.65</v>
      </c>
      <c r="J182" s="675">
        <f>IF(ISBLANK(I182),"",SUM(H182:I182))</f>
        <v>107.86500000000001</v>
      </c>
      <c r="K182" s="606">
        <f t="shared" si="22"/>
        <v>130.88999999999999</v>
      </c>
      <c r="L182" s="607" t="s">
        <v>16</v>
      </c>
      <c r="M182" s="30"/>
      <c r="N182" s="30"/>
      <c r="O182" s="287">
        <f t="shared" si="23"/>
        <v>0</v>
      </c>
      <c r="P182" s="287">
        <f t="shared" si="24"/>
        <v>0</v>
      </c>
      <c r="Q182" s="288"/>
      <c r="R182" s="243"/>
      <c r="S182" s="385" t="str">
        <f t="shared" si="33"/>
        <v/>
      </c>
    </row>
    <row r="183" spans="2:20" hidden="1">
      <c r="B183" s="609" t="s">
        <v>1938</v>
      </c>
      <c r="C183" s="610" t="s">
        <v>212</v>
      </c>
      <c r="D183" s="611" t="s">
        <v>516</v>
      </c>
      <c r="E183" s="602"/>
      <c r="F183" s="639">
        <v>20</v>
      </c>
      <c r="G183" s="673">
        <v>2.2000000000000002</v>
      </c>
      <c r="H183" s="605">
        <f t="shared" si="34"/>
        <v>33.99</v>
      </c>
      <c r="I183" s="675">
        <v>76.62</v>
      </c>
      <c r="J183" s="675">
        <f>IF(ISBLANK(I183),"",SUM(H183:I183))</f>
        <v>110.61000000000001</v>
      </c>
      <c r="K183" s="606">
        <f t="shared" si="22"/>
        <v>134.22999999999999</v>
      </c>
      <c r="L183" s="607" t="s">
        <v>16</v>
      </c>
      <c r="M183" s="30"/>
      <c r="N183" s="30"/>
      <c r="O183" s="287">
        <f t="shared" si="23"/>
        <v>0</v>
      </c>
      <c r="P183" s="287">
        <f t="shared" si="24"/>
        <v>0</v>
      </c>
      <c r="Q183" s="288"/>
      <c r="R183" s="243"/>
      <c r="S183" s="385" t="str">
        <f t="shared" si="33"/>
        <v/>
      </c>
    </row>
    <row r="184" spans="2:20" hidden="1">
      <c r="B184" s="609">
        <v>516200</v>
      </c>
      <c r="C184" s="610" t="s">
        <v>212</v>
      </c>
      <c r="D184" s="611" t="s">
        <v>234</v>
      </c>
      <c r="E184" s="602"/>
      <c r="F184" s="639">
        <v>20</v>
      </c>
      <c r="G184" s="673">
        <v>1.95</v>
      </c>
      <c r="H184" s="605">
        <f t="shared" si="34"/>
        <v>30.127499999999998</v>
      </c>
      <c r="I184" s="675">
        <v>73.73</v>
      </c>
      <c r="J184" s="675">
        <f>IF(ISBLANK(I184),"",SUM(H184:I184))*0.85</f>
        <v>88.278874999999999</v>
      </c>
      <c r="K184" s="606">
        <f t="shared" si="22"/>
        <v>107.13</v>
      </c>
      <c r="L184" s="607" t="s">
        <v>16</v>
      </c>
      <c r="M184" s="30"/>
      <c r="N184" s="30"/>
      <c r="O184" s="287">
        <f t="shared" si="23"/>
        <v>0</v>
      </c>
      <c r="P184" s="287">
        <f t="shared" si="24"/>
        <v>0</v>
      </c>
      <c r="Q184" s="288"/>
      <c r="R184" s="243"/>
      <c r="S184" s="385" t="str">
        <f t="shared" si="33"/>
        <v/>
      </c>
    </row>
    <row r="185" spans="2:20" ht="13.5" thickBot="1">
      <c r="B185" s="609" t="s">
        <v>2010</v>
      </c>
      <c r="C185" s="610" t="s">
        <v>212</v>
      </c>
      <c r="D185" s="611" t="s">
        <v>222</v>
      </c>
      <c r="E185" s="602"/>
      <c r="F185" s="639">
        <v>15</v>
      </c>
      <c r="G185" s="604">
        <v>2.4</v>
      </c>
      <c r="H185" s="605">
        <v>48.29</v>
      </c>
      <c r="I185" s="675">
        <v>110.89788523999999</v>
      </c>
      <c r="J185" s="675">
        <f>IF(ISBLANK(I185),"",SUM(H185:I185))</f>
        <v>159.18788523999999</v>
      </c>
      <c r="K185" s="606">
        <f t="shared" ref="K185:K196" si="35">IF(ISBLANK(I185),0,ROUND(J185*(1+$F$10)*(1+$F$11*E185),2))</f>
        <v>193.17</v>
      </c>
      <c r="L185" s="607" t="s">
        <v>16</v>
      </c>
      <c r="M185" s="30">
        <v>340.24</v>
      </c>
      <c r="N185" s="30">
        <v>193.17</v>
      </c>
      <c r="O185" s="287">
        <f t="shared" ref="O185:O277" si="36">IF(ISBLANK(M185),0,ROUND(K185*M185,2))</f>
        <v>65724.160000000003</v>
      </c>
      <c r="P185" s="287">
        <f t="shared" ref="P185:P277" si="37">IF(ISBLANK(N185),0,ROUND(M185*N185,2))</f>
        <v>65724.160000000003</v>
      </c>
      <c r="Q185" s="288"/>
      <c r="R185" s="243" t="s">
        <v>174</v>
      </c>
      <c r="S185" s="385" t="str">
        <f t="shared" si="33"/>
        <v>x</v>
      </c>
      <c r="T185" s="3" t="s">
        <v>174</v>
      </c>
    </row>
    <row r="186" spans="2:20" ht="13.5" hidden="1" thickBot="1">
      <c r="B186" s="609">
        <v>531120</v>
      </c>
      <c r="C186" s="610" t="s">
        <v>212</v>
      </c>
      <c r="D186" s="611" t="s">
        <v>228</v>
      </c>
      <c r="E186" s="602"/>
      <c r="F186" s="639"/>
      <c r="G186" s="604"/>
      <c r="H186" s="605">
        <f>SUM(H187:H189)</f>
        <v>61.414079999999998</v>
      </c>
      <c r="I186" s="675">
        <v>147.42999999999998</v>
      </c>
      <c r="J186" s="675">
        <f>IF(ISBLANK(I186),"",SUM(H186:I186))*0.9</f>
        <v>187.95967199999998</v>
      </c>
      <c r="K186" s="606">
        <f t="shared" si="35"/>
        <v>228.09</v>
      </c>
      <c r="L186" s="607" t="s">
        <v>16</v>
      </c>
      <c r="M186" s="30"/>
      <c r="N186" s="30"/>
      <c r="O186" s="287">
        <f t="shared" si="36"/>
        <v>0</v>
      </c>
      <c r="P186" s="287">
        <f t="shared" si="37"/>
        <v>0</v>
      </c>
      <c r="Q186" s="288"/>
      <c r="R186" s="243"/>
      <c r="S186" s="385" t="str">
        <f t="shared" si="33"/>
        <v/>
      </c>
    </row>
    <row r="187" spans="2:20" ht="13.5" hidden="1" thickBot="1">
      <c r="B187" s="609" t="s">
        <v>168</v>
      </c>
      <c r="C187" s="610"/>
      <c r="D187" s="648" t="s">
        <v>218</v>
      </c>
      <c r="E187" s="602"/>
      <c r="F187" s="603">
        <v>500</v>
      </c>
      <c r="G187" s="604">
        <v>9.6000000000000002E-2</v>
      </c>
      <c r="H187" s="605">
        <f>IF(F187&lt;=30,(0.51*F187+4.28)*G187,((0.51*30+4.28)+0.42*(F187-30))*G187)</f>
        <v>20.830080000000002</v>
      </c>
      <c r="I187" s="675">
        <v>0</v>
      </c>
      <c r="J187" s="675"/>
      <c r="K187" s="606">
        <f t="shared" si="35"/>
        <v>0</v>
      </c>
      <c r="L187" s="607" t="s">
        <v>777</v>
      </c>
      <c r="M187" s="429"/>
      <c r="N187" s="430"/>
      <c r="O187" s="287">
        <f t="shared" si="36"/>
        <v>0</v>
      </c>
      <c r="P187" s="287">
        <f t="shared" si="37"/>
        <v>0</v>
      </c>
      <c r="Q187" s="288"/>
      <c r="R187" s="315" t="str">
        <f>IF(P186&gt;0,"xy","")</f>
        <v/>
      </c>
      <c r="S187" s="385" t="str">
        <f t="shared" si="33"/>
        <v/>
      </c>
    </row>
    <row r="188" spans="2:20" ht="13.5" hidden="1" thickBot="1">
      <c r="B188" s="609" t="s">
        <v>168</v>
      </c>
      <c r="C188" s="610"/>
      <c r="D188" s="648" t="s">
        <v>229</v>
      </c>
      <c r="E188" s="602"/>
      <c r="F188" s="639"/>
      <c r="G188" s="604">
        <v>2.4</v>
      </c>
      <c r="H188" s="605">
        <f>IF(F188=0,0,IF(F188&lt;=30,(0.7*F188+1.45)*G188,((0.7*30+1.45)+0.58*(F188-30))*G188))</f>
        <v>0</v>
      </c>
      <c r="I188" s="675">
        <v>0</v>
      </c>
      <c r="J188" s="675">
        <f t="shared" ref="J188" si="38">IF(ISBLANK(I188),"",SUM(H188:I188))</f>
        <v>0</v>
      </c>
      <c r="K188" s="606">
        <f t="shared" si="35"/>
        <v>0</v>
      </c>
      <c r="L188" s="607" t="s">
        <v>777</v>
      </c>
      <c r="M188" s="429">
        <v>0</v>
      </c>
      <c r="N188" s="430"/>
      <c r="O188" s="287">
        <f t="shared" si="36"/>
        <v>0</v>
      </c>
      <c r="P188" s="287">
        <f t="shared" si="37"/>
        <v>0</v>
      </c>
      <c r="Q188" s="288"/>
      <c r="R188" s="315" t="str">
        <f>IF(P186&gt;0,"xy","")</f>
        <v/>
      </c>
      <c r="S188" s="385" t="str">
        <f t="shared" si="33"/>
        <v/>
      </c>
    </row>
    <row r="189" spans="2:20" ht="13.5" hidden="1" thickBot="1">
      <c r="B189" s="609" t="s">
        <v>168</v>
      </c>
      <c r="C189" s="610"/>
      <c r="D189" s="648" t="s">
        <v>230</v>
      </c>
      <c r="E189" s="602"/>
      <c r="F189" s="639">
        <v>20</v>
      </c>
      <c r="G189" s="604">
        <v>2.4</v>
      </c>
      <c r="H189" s="605">
        <f>IF(F189&lt;=30,(0.7*F189+2.91)*G189,((0.7*30+2.91)+0.58*(F189-30))*G189)</f>
        <v>40.583999999999996</v>
      </c>
      <c r="I189" s="675">
        <v>0</v>
      </c>
      <c r="J189" s="675"/>
      <c r="K189" s="606">
        <f t="shared" si="35"/>
        <v>0</v>
      </c>
      <c r="L189" s="607" t="s">
        <v>777</v>
      </c>
      <c r="M189" s="429"/>
      <c r="N189" s="430"/>
      <c r="O189" s="287">
        <f t="shared" si="36"/>
        <v>0</v>
      </c>
      <c r="P189" s="287">
        <f t="shared" si="37"/>
        <v>0</v>
      </c>
      <c r="Q189" s="288"/>
      <c r="R189" s="315" t="str">
        <f>IF(P186&gt;0,"xy","")</f>
        <v/>
      </c>
      <c r="S189" s="385" t="str">
        <f t="shared" si="33"/>
        <v/>
      </c>
    </row>
    <row r="190" spans="2:20" ht="13.5" hidden="1" thickBot="1">
      <c r="B190" s="609">
        <v>531350</v>
      </c>
      <c r="C190" s="610" t="s">
        <v>212</v>
      </c>
      <c r="D190" s="611" t="s">
        <v>223</v>
      </c>
      <c r="E190" s="602"/>
      <c r="F190" s="639"/>
      <c r="G190" s="673"/>
      <c r="H190" s="674">
        <f>SUM(H191:H192)</f>
        <v>31.363500000000002</v>
      </c>
      <c r="I190" s="675">
        <v>81.72</v>
      </c>
      <c r="J190" s="675">
        <f>IF(ISBLANK(I190),"",SUM(H190:I190))</f>
        <v>113.0835</v>
      </c>
      <c r="K190" s="606">
        <f t="shared" si="35"/>
        <v>137.22999999999999</v>
      </c>
      <c r="L190" s="607" t="s">
        <v>16</v>
      </c>
      <c r="M190" s="30"/>
      <c r="N190" s="30"/>
      <c r="O190" s="287">
        <f t="shared" si="36"/>
        <v>0</v>
      </c>
      <c r="P190" s="287">
        <f t="shared" si="37"/>
        <v>0</v>
      </c>
      <c r="Q190" s="288"/>
      <c r="R190" s="243"/>
      <c r="S190" s="385" t="str">
        <f t="shared" si="33"/>
        <v/>
      </c>
    </row>
    <row r="191" spans="2:20" ht="13.5" hidden="1" thickBot="1">
      <c r="B191" s="609" t="s">
        <v>168</v>
      </c>
      <c r="C191" s="610"/>
      <c r="D191" s="648" t="s">
        <v>224</v>
      </c>
      <c r="E191" s="602"/>
      <c r="F191" s="639">
        <v>20</v>
      </c>
      <c r="G191" s="673">
        <v>1.35</v>
      </c>
      <c r="H191" s="605">
        <f t="shared" ref="H191:H196" si="39">IF(F191&lt;=30,(0.7*F191+1.45)*G191,((0.7*30+1.45)+0.58*(F191-30))*G191)</f>
        <v>20.857500000000002</v>
      </c>
      <c r="I191" s="675">
        <v>0</v>
      </c>
      <c r="J191" s="675"/>
      <c r="K191" s="606">
        <f t="shared" si="35"/>
        <v>0</v>
      </c>
      <c r="L191" s="607" t="s">
        <v>777</v>
      </c>
      <c r="M191" s="429">
        <v>0</v>
      </c>
      <c r="N191" s="430"/>
      <c r="O191" s="287">
        <f t="shared" si="36"/>
        <v>0</v>
      </c>
      <c r="P191" s="287">
        <f t="shared" si="37"/>
        <v>0</v>
      </c>
      <c r="Q191" s="288"/>
      <c r="R191" s="315" t="str">
        <f>IF(P190&gt;0,"xy","")</f>
        <v/>
      </c>
      <c r="S191" s="385" t="str">
        <f t="shared" si="33"/>
        <v/>
      </c>
    </row>
    <row r="192" spans="2:20" ht="13.5" hidden="1" thickBot="1">
      <c r="B192" s="609" t="s">
        <v>168</v>
      </c>
      <c r="C192" s="610"/>
      <c r="D192" s="648" t="s">
        <v>225</v>
      </c>
      <c r="E192" s="602"/>
      <c r="F192" s="639">
        <v>20</v>
      </c>
      <c r="G192" s="673">
        <v>0.68</v>
      </c>
      <c r="H192" s="605">
        <f t="shared" si="39"/>
        <v>10.506</v>
      </c>
      <c r="I192" s="675">
        <v>0</v>
      </c>
      <c r="J192" s="675"/>
      <c r="K192" s="606">
        <f t="shared" si="35"/>
        <v>0</v>
      </c>
      <c r="L192" s="607" t="s">
        <v>777</v>
      </c>
      <c r="M192" s="429">
        <v>0</v>
      </c>
      <c r="N192" s="430"/>
      <c r="O192" s="287">
        <f t="shared" si="36"/>
        <v>0</v>
      </c>
      <c r="P192" s="287">
        <f t="shared" si="37"/>
        <v>0</v>
      </c>
      <c r="Q192" s="288"/>
      <c r="R192" s="315" t="str">
        <f>IF(P190&gt;0,"xy","")</f>
        <v/>
      </c>
      <c r="S192" s="385" t="str">
        <f t="shared" si="33"/>
        <v/>
      </c>
    </row>
    <row r="193" spans="2:19" ht="13.5" hidden="1" thickBot="1">
      <c r="B193" s="609">
        <v>531300</v>
      </c>
      <c r="C193" s="610" t="s">
        <v>212</v>
      </c>
      <c r="D193" s="611" t="s">
        <v>226</v>
      </c>
      <c r="E193" s="602"/>
      <c r="F193" s="639"/>
      <c r="G193" s="673"/>
      <c r="H193" s="674">
        <f>SUM(H194:H195)</f>
        <v>31.363500000000002</v>
      </c>
      <c r="I193" s="675">
        <v>84.09</v>
      </c>
      <c r="J193" s="675">
        <f>IF(ISBLANK(I193),"",SUM(H193:I193))</f>
        <v>115.45350000000001</v>
      </c>
      <c r="K193" s="606">
        <f t="shared" si="35"/>
        <v>140.1</v>
      </c>
      <c r="L193" s="607" t="s">
        <v>16</v>
      </c>
      <c r="M193" s="30"/>
      <c r="N193" s="30"/>
      <c r="O193" s="287">
        <f t="shared" si="36"/>
        <v>0</v>
      </c>
      <c r="P193" s="287">
        <f t="shared" si="37"/>
        <v>0</v>
      </c>
      <c r="Q193" s="288"/>
      <c r="R193" s="243"/>
      <c r="S193" s="385" t="str">
        <f t="shared" si="33"/>
        <v/>
      </c>
    </row>
    <row r="194" spans="2:19" ht="13.5" hidden="1" thickBot="1">
      <c r="B194" s="609" t="s">
        <v>168</v>
      </c>
      <c r="C194" s="610"/>
      <c r="D194" s="648" t="s">
        <v>224</v>
      </c>
      <c r="E194" s="602"/>
      <c r="F194" s="639">
        <v>20</v>
      </c>
      <c r="G194" s="673">
        <v>1.35</v>
      </c>
      <c r="H194" s="605">
        <f t="shared" si="39"/>
        <v>20.857500000000002</v>
      </c>
      <c r="I194" s="675">
        <v>0</v>
      </c>
      <c r="J194" s="675"/>
      <c r="K194" s="606">
        <f t="shared" si="35"/>
        <v>0</v>
      </c>
      <c r="L194" s="607" t="s">
        <v>777</v>
      </c>
      <c r="M194" s="429">
        <v>0</v>
      </c>
      <c r="N194" s="430"/>
      <c r="O194" s="287">
        <f t="shared" si="36"/>
        <v>0</v>
      </c>
      <c r="P194" s="287">
        <f t="shared" si="37"/>
        <v>0</v>
      </c>
      <c r="Q194" s="288"/>
      <c r="R194" s="315" t="str">
        <f>IF(P193&gt;0,"xy","")</f>
        <v/>
      </c>
      <c r="S194" s="385" t="str">
        <f t="shared" si="33"/>
        <v/>
      </c>
    </row>
    <row r="195" spans="2:19" ht="13.5" hidden="1" thickBot="1">
      <c r="B195" s="609" t="s">
        <v>168</v>
      </c>
      <c r="C195" s="610"/>
      <c r="D195" s="648" t="s">
        <v>225</v>
      </c>
      <c r="E195" s="602"/>
      <c r="F195" s="639">
        <v>20</v>
      </c>
      <c r="G195" s="673">
        <v>0.68</v>
      </c>
      <c r="H195" s="605">
        <f t="shared" si="39"/>
        <v>10.506</v>
      </c>
      <c r="I195" s="675">
        <v>0</v>
      </c>
      <c r="J195" s="675"/>
      <c r="K195" s="606">
        <f t="shared" si="35"/>
        <v>0</v>
      </c>
      <c r="L195" s="607" t="s">
        <v>777</v>
      </c>
      <c r="M195" s="429">
        <v>0</v>
      </c>
      <c r="N195" s="430"/>
      <c r="O195" s="287">
        <f t="shared" si="36"/>
        <v>0</v>
      </c>
      <c r="P195" s="287">
        <f t="shared" si="37"/>
        <v>0</v>
      </c>
      <c r="Q195" s="288"/>
      <c r="R195" s="315" t="str">
        <f>IF(P193&gt;0,"xy","")</f>
        <v/>
      </c>
      <c r="S195" s="385" t="str">
        <f t="shared" si="33"/>
        <v/>
      </c>
    </row>
    <row r="196" spans="2:19" ht="13.5" hidden="1" thickBot="1">
      <c r="B196" s="609">
        <v>532000</v>
      </c>
      <c r="C196" s="610"/>
      <c r="D196" s="611" t="s">
        <v>227</v>
      </c>
      <c r="E196" s="602"/>
      <c r="F196" s="603">
        <v>20</v>
      </c>
      <c r="G196" s="604">
        <v>2.2000000000000002</v>
      </c>
      <c r="H196" s="605">
        <f t="shared" si="39"/>
        <v>33.99</v>
      </c>
      <c r="I196" s="675">
        <v>94.41</v>
      </c>
      <c r="J196" s="675">
        <f>IF(ISBLANK(I196),"",SUM(H196:I196))</f>
        <v>128.4</v>
      </c>
      <c r="K196" s="606">
        <f t="shared" si="35"/>
        <v>155.81</v>
      </c>
      <c r="L196" s="607" t="s">
        <v>16</v>
      </c>
      <c r="M196" s="425"/>
      <c r="N196" s="425"/>
      <c r="O196" s="287">
        <f t="shared" si="36"/>
        <v>0</v>
      </c>
      <c r="P196" s="391">
        <f t="shared" si="37"/>
        <v>0</v>
      </c>
      <c r="Q196" s="288"/>
      <c r="R196" s="243"/>
      <c r="S196" s="385" t="str">
        <f t="shared" si="33"/>
        <v/>
      </c>
    </row>
    <row r="197" spans="2:19" ht="13.5" hidden="1" thickBot="1">
      <c r="B197" s="624" t="s">
        <v>187</v>
      </c>
      <c r="C197" s="687"/>
      <c r="D197" s="688" t="s">
        <v>497</v>
      </c>
      <c r="E197" s="689"/>
      <c r="F197" s="690"/>
      <c r="G197" s="691"/>
      <c r="H197" s="676"/>
      <c r="I197" s="615"/>
      <c r="J197" s="615"/>
      <c r="K197" s="615"/>
      <c r="L197" s="692" t="s">
        <v>777</v>
      </c>
      <c r="M197" s="398"/>
      <c r="N197" s="399"/>
      <c r="O197" s="399"/>
      <c r="P197" s="400"/>
      <c r="Q197" s="288"/>
      <c r="R197" s="384" t="str">
        <f>IF(SUM(P198:P222)&gt;0,"y","")</f>
        <v/>
      </c>
      <c r="S197" s="385" t="str">
        <f t="shared" si="33"/>
        <v/>
      </c>
    </row>
    <row r="198" spans="2:19" ht="39" hidden="1" thickBot="1">
      <c r="B198" s="625">
        <v>94304</v>
      </c>
      <c r="C198" s="401" t="s">
        <v>843</v>
      </c>
      <c r="D198" s="402" t="s">
        <v>2102</v>
      </c>
      <c r="E198" s="403"/>
      <c r="F198" s="411"/>
      <c r="G198" s="405"/>
      <c r="H198" s="404"/>
      <c r="I198" s="406"/>
      <c r="J198" s="407"/>
      <c r="K198" s="408"/>
      <c r="L198" s="431"/>
      <c r="M198" s="425"/>
      <c r="N198" s="425"/>
      <c r="O198" s="287">
        <f t="shared" ref="O198" si="40">IF(ISBLANK(M198),0,ROUND(K198*M198,2))</f>
        <v>0</v>
      </c>
      <c r="P198" s="391">
        <f t="shared" ref="P198:P222" si="41">IF(ISBLANK(N198),0,ROUND(M198*N198,2))</f>
        <v>0</v>
      </c>
      <c r="Q198" s="288"/>
      <c r="R198" s="243"/>
      <c r="S198" s="385" t="str">
        <f t="shared" si="33"/>
        <v/>
      </c>
    </row>
    <row r="199" spans="2:19" ht="13.5" hidden="1" thickBot="1">
      <c r="B199" s="625" t="s">
        <v>187</v>
      </c>
      <c r="C199" s="401" t="s">
        <v>187</v>
      </c>
      <c r="D199" s="410"/>
      <c r="E199" s="403"/>
      <c r="F199" s="411"/>
      <c r="G199" s="405"/>
      <c r="H199" s="404"/>
      <c r="I199" s="406"/>
      <c r="J199" s="407"/>
      <c r="K199" s="412">
        <f t="shared" ref="K199:K222" si="42">IF(ISBLANK(J199),0,ROUND(J199*(1+$F$10)*(1+$F$11*E199),2))</f>
        <v>0</v>
      </c>
      <c r="L199" s="431" t="s">
        <v>777</v>
      </c>
      <c r="M199" s="30"/>
      <c r="N199" s="30"/>
      <c r="O199" s="287">
        <f>IF(ISBLANK(M199),0,ROUND(K199*M199,2))</f>
        <v>0</v>
      </c>
      <c r="P199" s="287">
        <f t="shared" si="41"/>
        <v>0</v>
      </c>
      <c r="Q199" s="288"/>
      <c r="R199" s="243"/>
      <c r="S199" s="385" t="str">
        <f t="shared" si="33"/>
        <v/>
      </c>
    </row>
    <row r="200" spans="2:19" ht="13.5" hidden="1" thickBot="1">
      <c r="B200" s="625" t="s">
        <v>187</v>
      </c>
      <c r="C200" s="401" t="s">
        <v>187</v>
      </c>
      <c r="D200" s="410"/>
      <c r="E200" s="403"/>
      <c r="F200" s="411"/>
      <c r="G200" s="405"/>
      <c r="H200" s="404"/>
      <c r="I200" s="406"/>
      <c r="J200" s="407"/>
      <c r="K200" s="412">
        <f t="shared" si="42"/>
        <v>0</v>
      </c>
      <c r="L200" s="431" t="s">
        <v>777</v>
      </c>
      <c r="M200" s="30"/>
      <c r="N200" s="30"/>
      <c r="O200" s="287">
        <f t="shared" ref="O200:O222" si="43">IF(ISBLANK(M200),0,ROUND(K200*M200,2))</f>
        <v>0</v>
      </c>
      <c r="P200" s="287">
        <f t="shared" si="41"/>
        <v>0</v>
      </c>
      <c r="Q200" s="288"/>
      <c r="R200" s="243"/>
      <c r="S200" s="385" t="str">
        <f t="shared" si="33"/>
        <v/>
      </c>
    </row>
    <row r="201" spans="2:19" ht="13.5" hidden="1" thickBot="1">
      <c r="B201" s="625" t="s">
        <v>187</v>
      </c>
      <c r="C201" s="401" t="s">
        <v>187</v>
      </c>
      <c r="D201" s="410"/>
      <c r="E201" s="403"/>
      <c r="F201" s="411"/>
      <c r="G201" s="405"/>
      <c r="H201" s="404"/>
      <c r="I201" s="406"/>
      <c r="J201" s="407"/>
      <c r="K201" s="412">
        <f t="shared" si="42"/>
        <v>0</v>
      </c>
      <c r="L201" s="431" t="s">
        <v>777</v>
      </c>
      <c r="M201" s="30"/>
      <c r="N201" s="30"/>
      <c r="O201" s="287">
        <f t="shared" si="43"/>
        <v>0</v>
      </c>
      <c r="P201" s="287">
        <f t="shared" si="41"/>
        <v>0</v>
      </c>
      <c r="Q201" s="288"/>
      <c r="R201" s="243"/>
      <c r="S201" s="385" t="str">
        <f t="shared" si="33"/>
        <v/>
      </c>
    </row>
    <row r="202" spans="2:19" ht="13.5" hidden="1" thickBot="1">
      <c r="B202" s="625" t="s">
        <v>187</v>
      </c>
      <c r="C202" s="401" t="s">
        <v>187</v>
      </c>
      <c r="D202" s="410"/>
      <c r="E202" s="403"/>
      <c r="F202" s="411"/>
      <c r="G202" s="405"/>
      <c r="H202" s="404"/>
      <c r="I202" s="406"/>
      <c r="J202" s="407"/>
      <c r="K202" s="412">
        <f t="shared" si="42"/>
        <v>0</v>
      </c>
      <c r="L202" s="431" t="s">
        <v>777</v>
      </c>
      <c r="M202" s="30"/>
      <c r="N202" s="30"/>
      <c r="O202" s="287">
        <f t="shared" si="43"/>
        <v>0</v>
      </c>
      <c r="P202" s="287">
        <f t="shared" si="41"/>
        <v>0</v>
      </c>
      <c r="Q202" s="288"/>
      <c r="R202" s="243"/>
      <c r="S202" s="385" t="str">
        <f t="shared" si="33"/>
        <v/>
      </c>
    </row>
    <row r="203" spans="2:19" ht="13.5" hidden="1" thickBot="1">
      <c r="B203" s="625" t="s">
        <v>187</v>
      </c>
      <c r="C203" s="401" t="s">
        <v>187</v>
      </c>
      <c r="D203" s="410"/>
      <c r="E203" s="403"/>
      <c r="F203" s="411"/>
      <c r="G203" s="405"/>
      <c r="H203" s="404"/>
      <c r="I203" s="406"/>
      <c r="J203" s="407"/>
      <c r="K203" s="412">
        <f t="shared" si="42"/>
        <v>0</v>
      </c>
      <c r="L203" s="431" t="s">
        <v>777</v>
      </c>
      <c r="M203" s="30"/>
      <c r="N203" s="30"/>
      <c r="O203" s="287">
        <f t="shared" si="43"/>
        <v>0</v>
      </c>
      <c r="P203" s="287">
        <f t="shared" si="41"/>
        <v>0</v>
      </c>
      <c r="Q203" s="288"/>
      <c r="R203" s="243"/>
      <c r="S203" s="385" t="str">
        <f t="shared" si="33"/>
        <v/>
      </c>
    </row>
    <row r="204" spans="2:19" ht="13.5" hidden="1" thickBot="1">
      <c r="B204" s="625" t="s">
        <v>187</v>
      </c>
      <c r="C204" s="401" t="s">
        <v>187</v>
      </c>
      <c r="D204" s="410"/>
      <c r="E204" s="403"/>
      <c r="F204" s="411"/>
      <c r="G204" s="405"/>
      <c r="H204" s="404"/>
      <c r="I204" s="406"/>
      <c r="J204" s="407"/>
      <c r="K204" s="412">
        <f t="shared" si="42"/>
        <v>0</v>
      </c>
      <c r="L204" s="431" t="s">
        <v>777</v>
      </c>
      <c r="M204" s="30"/>
      <c r="N204" s="30"/>
      <c r="O204" s="287">
        <f t="shared" si="43"/>
        <v>0</v>
      </c>
      <c r="P204" s="287">
        <f t="shared" si="41"/>
        <v>0</v>
      </c>
      <c r="Q204" s="288"/>
      <c r="R204" s="243"/>
      <c r="S204" s="385" t="str">
        <f t="shared" si="33"/>
        <v/>
      </c>
    </row>
    <row r="205" spans="2:19" ht="13.5" hidden="1" thickBot="1">
      <c r="B205" s="625" t="s">
        <v>187</v>
      </c>
      <c r="C205" s="401" t="s">
        <v>187</v>
      </c>
      <c r="D205" s="410"/>
      <c r="E205" s="403"/>
      <c r="F205" s="411"/>
      <c r="G205" s="405"/>
      <c r="H205" s="404"/>
      <c r="I205" s="406"/>
      <c r="J205" s="407"/>
      <c r="K205" s="412">
        <f t="shared" si="42"/>
        <v>0</v>
      </c>
      <c r="L205" s="431" t="s">
        <v>777</v>
      </c>
      <c r="M205" s="30"/>
      <c r="N205" s="30"/>
      <c r="O205" s="287">
        <f t="shared" si="43"/>
        <v>0</v>
      </c>
      <c r="P205" s="287">
        <f t="shared" si="41"/>
        <v>0</v>
      </c>
      <c r="Q205" s="288"/>
      <c r="R205" s="243"/>
      <c r="S205" s="385" t="str">
        <f t="shared" si="33"/>
        <v/>
      </c>
    </row>
    <row r="206" spans="2:19" ht="13.5" hidden="1" thickBot="1">
      <c r="B206" s="625" t="s">
        <v>187</v>
      </c>
      <c r="C206" s="401" t="s">
        <v>187</v>
      </c>
      <c r="D206" s="410"/>
      <c r="E206" s="403"/>
      <c r="F206" s="411"/>
      <c r="G206" s="405"/>
      <c r="H206" s="404"/>
      <c r="I206" s="406"/>
      <c r="J206" s="407"/>
      <c r="K206" s="412">
        <f t="shared" si="42"/>
        <v>0</v>
      </c>
      <c r="L206" s="431" t="s">
        <v>777</v>
      </c>
      <c r="M206" s="30"/>
      <c r="N206" s="30"/>
      <c r="O206" s="287">
        <f t="shared" si="43"/>
        <v>0</v>
      </c>
      <c r="P206" s="287">
        <f t="shared" si="41"/>
        <v>0</v>
      </c>
      <c r="Q206" s="288"/>
      <c r="R206" s="243"/>
      <c r="S206" s="385" t="str">
        <f t="shared" si="33"/>
        <v/>
      </c>
    </row>
    <row r="207" spans="2:19" ht="13.5" hidden="1" thickBot="1">
      <c r="B207" s="625" t="s">
        <v>187</v>
      </c>
      <c r="C207" s="401" t="s">
        <v>187</v>
      </c>
      <c r="D207" s="410"/>
      <c r="E207" s="403"/>
      <c r="F207" s="411"/>
      <c r="G207" s="405"/>
      <c r="H207" s="404"/>
      <c r="I207" s="406"/>
      <c r="J207" s="407"/>
      <c r="K207" s="412">
        <f t="shared" si="42"/>
        <v>0</v>
      </c>
      <c r="L207" s="431" t="s">
        <v>777</v>
      </c>
      <c r="M207" s="30"/>
      <c r="N207" s="30"/>
      <c r="O207" s="287">
        <f t="shared" si="43"/>
        <v>0</v>
      </c>
      <c r="P207" s="287">
        <f t="shared" si="41"/>
        <v>0</v>
      </c>
      <c r="Q207" s="288"/>
      <c r="R207" s="243"/>
      <c r="S207" s="385" t="str">
        <f t="shared" si="33"/>
        <v/>
      </c>
    </row>
    <row r="208" spans="2:19" ht="13.5" hidden="1" thickBot="1">
      <c r="B208" s="625" t="s">
        <v>187</v>
      </c>
      <c r="C208" s="401" t="s">
        <v>187</v>
      </c>
      <c r="D208" s="410"/>
      <c r="E208" s="403"/>
      <c r="F208" s="411"/>
      <c r="G208" s="405"/>
      <c r="H208" s="404"/>
      <c r="I208" s="406"/>
      <c r="J208" s="407"/>
      <c r="K208" s="412">
        <f t="shared" si="42"/>
        <v>0</v>
      </c>
      <c r="L208" s="431" t="s">
        <v>777</v>
      </c>
      <c r="M208" s="30"/>
      <c r="N208" s="30"/>
      <c r="O208" s="287">
        <f t="shared" si="43"/>
        <v>0</v>
      </c>
      <c r="P208" s="287">
        <f t="shared" si="41"/>
        <v>0</v>
      </c>
      <c r="Q208" s="288"/>
      <c r="R208" s="243"/>
      <c r="S208" s="385" t="str">
        <f t="shared" si="33"/>
        <v/>
      </c>
    </row>
    <row r="209" spans="2:19" ht="13.5" hidden="1" thickBot="1">
      <c r="B209" s="625" t="s">
        <v>187</v>
      </c>
      <c r="C209" s="401" t="s">
        <v>187</v>
      </c>
      <c r="D209" s="410"/>
      <c r="E209" s="403"/>
      <c r="F209" s="411"/>
      <c r="G209" s="405"/>
      <c r="H209" s="404"/>
      <c r="I209" s="406"/>
      <c r="J209" s="407"/>
      <c r="K209" s="412">
        <f t="shared" si="42"/>
        <v>0</v>
      </c>
      <c r="L209" s="431" t="s">
        <v>777</v>
      </c>
      <c r="M209" s="30"/>
      <c r="N209" s="30"/>
      <c r="O209" s="287">
        <f t="shared" si="43"/>
        <v>0</v>
      </c>
      <c r="P209" s="287">
        <f t="shared" si="41"/>
        <v>0</v>
      </c>
      <c r="Q209" s="288"/>
      <c r="R209" s="243"/>
      <c r="S209" s="385" t="str">
        <f t="shared" si="33"/>
        <v/>
      </c>
    </row>
    <row r="210" spans="2:19" ht="13.5" hidden="1" thickBot="1">
      <c r="B210" s="625" t="s">
        <v>187</v>
      </c>
      <c r="C210" s="401" t="s">
        <v>187</v>
      </c>
      <c r="D210" s="410"/>
      <c r="E210" s="403"/>
      <c r="F210" s="411"/>
      <c r="G210" s="405"/>
      <c r="H210" s="404"/>
      <c r="I210" s="406"/>
      <c r="J210" s="407"/>
      <c r="K210" s="412">
        <f t="shared" si="42"/>
        <v>0</v>
      </c>
      <c r="L210" s="431" t="s">
        <v>777</v>
      </c>
      <c r="M210" s="30"/>
      <c r="N210" s="30"/>
      <c r="O210" s="287">
        <f t="shared" si="43"/>
        <v>0</v>
      </c>
      <c r="P210" s="287">
        <f t="shared" si="41"/>
        <v>0</v>
      </c>
      <c r="Q210" s="288"/>
      <c r="R210" s="243"/>
      <c r="S210" s="385" t="str">
        <f t="shared" si="33"/>
        <v/>
      </c>
    </row>
    <row r="211" spans="2:19" ht="13.5" hidden="1" thickBot="1">
      <c r="B211" s="625" t="s">
        <v>187</v>
      </c>
      <c r="C211" s="401" t="s">
        <v>187</v>
      </c>
      <c r="D211" s="410"/>
      <c r="E211" s="403"/>
      <c r="F211" s="411"/>
      <c r="G211" s="405"/>
      <c r="H211" s="404"/>
      <c r="I211" s="406"/>
      <c r="J211" s="407"/>
      <c r="K211" s="412">
        <f t="shared" si="42"/>
        <v>0</v>
      </c>
      <c r="L211" s="431" t="s">
        <v>777</v>
      </c>
      <c r="M211" s="30"/>
      <c r="N211" s="30"/>
      <c r="O211" s="287">
        <f t="shared" si="43"/>
        <v>0</v>
      </c>
      <c r="P211" s="287">
        <f t="shared" si="41"/>
        <v>0</v>
      </c>
      <c r="Q211" s="288"/>
      <c r="R211" s="243"/>
      <c r="S211" s="385" t="str">
        <f t="shared" si="33"/>
        <v/>
      </c>
    </row>
    <row r="212" spans="2:19" ht="13.5" hidden="1" thickBot="1">
      <c r="B212" s="625" t="s">
        <v>187</v>
      </c>
      <c r="C212" s="401" t="s">
        <v>187</v>
      </c>
      <c r="D212" s="410"/>
      <c r="E212" s="403"/>
      <c r="F212" s="411"/>
      <c r="G212" s="405"/>
      <c r="H212" s="404"/>
      <c r="I212" s="406"/>
      <c r="J212" s="407"/>
      <c r="K212" s="412">
        <f t="shared" si="42"/>
        <v>0</v>
      </c>
      <c r="L212" s="431" t="s">
        <v>777</v>
      </c>
      <c r="M212" s="30"/>
      <c r="N212" s="30"/>
      <c r="O212" s="287">
        <f t="shared" si="43"/>
        <v>0</v>
      </c>
      <c r="P212" s="287">
        <f t="shared" si="41"/>
        <v>0</v>
      </c>
      <c r="Q212" s="288"/>
      <c r="R212" s="243"/>
      <c r="S212" s="385" t="str">
        <f t="shared" si="33"/>
        <v/>
      </c>
    </row>
    <row r="213" spans="2:19" ht="13.5" hidden="1" thickBot="1">
      <c r="B213" s="625" t="s">
        <v>187</v>
      </c>
      <c r="C213" s="401" t="s">
        <v>187</v>
      </c>
      <c r="D213" s="410"/>
      <c r="E213" s="403"/>
      <c r="F213" s="411"/>
      <c r="G213" s="405"/>
      <c r="H213" s="404"/>
      <c r="I213" s="406"/>
      <c r="J213" s="407"/>
      <c r="K213" s="412">
        <f t="shared" si="42"/>
        <v>0</v>
      </c>
      <c r="L213" s="431" t="s">
        <v>777</v>
      </c>
      <c r="M213" s="30"/>
      <c r="N213" s="30"/>
      <c r="O213" s="287">
        <f t="shared" si="43"/>
        <v>0</v>
      </c>
      <c r="P213" s="287">
        <f t="shared" si="41"/>
        <v>0</v>
      </c>
      <c r="Q213" s="288"/>
      <c r="R213" s="243"/>
      <c r="S213" s="385" t="str">
        <f t="shared" si="33"/>
        <v/>
      </c>
    </row>
    <row r="214" spans="2:19" ht="13.5" hidden="1" thickBot="1">
      <c r="B214" s="625" t="s">
        <v>187</v>
      </c>
      <c r="C214" s="401" t="s">
        <v>187</v>
      </c>
      <c r="D214" s="410"/>
      <c r="E214" s="403"/>
      <c r="F214" s="411"/>
      <c r="G214" s="405"/>
      <c r="H214" s="404"/>
      <c r="I214" s="406"/>
      <c r="J214" s="407"/>
      <c r="K214" s="412">
        <f t="shared" si="42"/>
        <v>0</v>
      </c>
      <c r="L214" s="431" t="s">
        <v>777</v>
      </c>
      <c r="M214" s="30"/>
      <c r="N214" s="30"/>
      <c r="O214" s="287">
        <f t="shared" si="43"/>
        <v>0</v>
      </c>
      <c r="P214" s="287">
        <f t="shared" si="41"/>
        <v>0</v>
      </c>
      <c r="Q214" s="288"/>
      <c r="R214" s="243"/>
      <c r="S214" s="385" t="str">
        <f t="shared" si="33"/>
        <v/>
      </c>
    </row>
    <row r="215" spans="2:19" ht="13.5" hidden="1" thickBot="1">
      <c r="B215" s="625" t="s">
        <v>187</v>
      </c>
      <c r="C215" s="401" t="s">
        <v>187</v>
      </c>
      <c r="D215" s="410"/>
      <c r="E215" s="403"/>
      <c r="F215" s="411"/>
      <c r="G215" s="405"/>
      <c r="H215" s="404"/>
      <c r="I215" s="406"/>
      <c r="J215" s="407"/>
      <c r="K215" s="412">
        <f t="shared" si="42"/>
        <v>0</v>
      </c>
      <c r="L215" s="431" t="s">
        <v>777</v>
      </c>
      <c r="M215" s="30"/>
      <c r="N215" s="30"/>
      <c r="O215" s="287">
        <f t="shared" si="43"/>
        <v>0</v>
      </c>
      <c r="P215" s="287">
        <f t="shared" si="41"/>
        <v>0</v>
      </c>
      <c r="Q215" s="288"/>
      <c r="R215" s="243"/>
      <c r="S215" s="385" t="str">
        <f t="shared" si="33"/>
        <v/>
      </c>
    </row>
    <row r="216" spans="2:19" ht="13.5" hidden="1" thickBot="1">
      <c r="B216" s="625" t="s">
        <v>187</v>
      </c>
      <c r="C216" s="401" t="s">
        <v>187</v>
      </c>
      <c r="D216" s="410"/>
      <c r="E216" s="403"/>
      <c r="F216" s="411"/>
      <c r="G216" s="405"/>
      <c r="H216" s="404"/>
      <c r="I216" s="406"/>
      <c r="J216" s="407"/>
      <c r="K216" s="412">
        <f t="shared" si="42"/>
        <v>0</v>
      </c>
      <c r="L216" s="431" t="s">
        <v>777</v>
      </c>
      <c r="M216" s="30"/>
      <c r="N216" s="30"/>
      <c r="O216" s="287">
        <f t="shared" si="43"/>
        <v>0</v>
      </c>
      <c r="P216" s="287">
        <f t="shared" si="41"/>
        <v>0</v>
      </c>
      <c r="Q216" s="288"/>
      <c r="R216" s="243"/>
      <c r="S216" s="385" t="str">
        <f t="shared" si="33"/>
        <v/>
      </c>
    </row>
    <row r="217" spans="2:19" ht="13.5" hidden="1" thickBot="1">
      <c r="B217" s="625" t="s">
        <v>187</v>
      </c>
      <c r="C217" s="401" t="s">
        <v>187</v>
      </c>
      <c r="D217" s="410"/>
      <c r="E217" s="403"/>
      <c r="F217" s="411"/>
      <c r="G217" s="405"/>
      <c r="H217" s="404"/>
      <c r="I217" s="406"/>
      <c r="J217" s="407"/>
      <c r="K217" s="412">
        <f t="shared" si="42"/>
        <v>0</v>
      </c>
      <c r="L217" s="431" t="s">
        <v>777</v>
      </c>
      <c r="M217" s="30"/>
      <c r="N217" s="30"/>
      <c r="O217" s="287">
        <f t="shared" si="43"/>
        <v>0</v>
      </c>
      <c r="P217" s="287">
        <f t="shared" si="41"/>
        <v>0</v>
      </c>
      <c r="Q217" s="288"/>
      <c r="R217" s="243"/>
      <c r="S217" s="385" t="str">
        <f t="shared" si="33"/>
        <v/>
      </c>
    </row>
    <row r="218" spans="2:19" ht="13.5" hidden="1" thickBot="1">
      <c r="B218" s="625" t="s">
        <v>187</v>
      </c>
      <c r="C218" s="401" t="s">
        <v>187</v>
      </c>
      <c r="D218" s="410"/>
      <c r="E218" s="403"/>
      <c r="F218" s="411"/>
      <c r="G218" s="405"/>
      <c r="H218" s="404"/>
      <c r="I218" s="406"/>
      <c r="J218" s="407"/>
      <c r="K218" s="412">
        <f t="shared" si="42"/>
        <v>0</v>
      </c>
      <c r="L218" s="431" t="s">
        <v>777</v>
      </c>
      <c r="M218" s="30"/>
      <c r="N218" s="30"/>
      <c r="O218" s="287">
        <f t="shared" si="43"/>
        <v>0</v>
      </c>
      <c r="P218" s="287">
        <f t="shared" si="41"/>
        <v>0</v>
      </c>
      <c r="Q218" s="288"/>
      <c r="R218" s="243"/>
      <c r="S218" s="385" t="str">
        <f t="shared" si="33"/>
        <v/>
      </c>
    </row>
    <row r="219" spans="2:19" ht="13.5" hidden="1" thickBot="1">
      <c r="B219" s="625" t="s">
        <v>187</v>
      </c>
      <c r="C219" s="401" t="s">
        <v>187</v>
      </c>
      <c r="D219" s="410"/>
      <c r="E219" s="403"/>
      <c r="F219" s="411"/>
      <c r="G219" s="405"/>
      <c r="H219" s="404"/>
      <c r="I219" s="406"/>
      <c r="J219" s="407"/>
      <c r="K219" s="412">
        <f t="shared" si="42"/>
        <v>0</v>
      </c>
      <c r="L219" s="431" t="s">
        <v>777</v>
      </c>
      <c r="M219" s="30"/>
      <c r="N219" s="30"/>
      <c r="O219" s="287">
        <f t="shared" si="43"/>
        <v>0</v>
      </c>
      <c r="P219" s="287">
        <f t="shared" si="41"/>
        <v>0</v>
      </c>
      <c r="Q219" s="288"/>
      <c r="R219" s="243"/>
      <c r="S219" s="385" t="str">
        <f t="shared" ref="S219:S282" si="44">IF(R219="x","x",IF(R219="y","x",IF(R219="xy","x",IF(P219&gt;0,"x",""))))</f>
        <v/>
      </c>
    </row>
    <row r="220" spans="2:19" ht="13.5" hidden="1" thickBot="1">
      <c r="B220" s="625" t="s">
        <v>187</v>
      </c>
      <c r="C220" s="401" t="s">
        <v>187</v>
      </c>
      <c r="D220" s="410"/>
      <c r="E220" s="403"/>
      <c r="F220" s="411"/>
      <c r="G220" s="405"/>
      <c r="H220" s="404"/>
      <c r="I220" s="406"/>
      <c r="J220" s="407"/>
      <c r="K220" s="412">
        <f t="shared" si="42"/>
        <v>0</v>
      </c>
      <c r="L220" s="431" t="s">
        <v>777</v>
      </c>
      <c r="M220" s="30"/>
      <c r="N220" s="30"/>
      <c r="O220" s="287">
        <f t="shared" si="43"/>
        <v>0</v>
      </c>
      <c r="P220" s="287">
        <f t="shared" si="41"/>
        <v>0</v>
      </c>
      <c r="Q220" s="288"/>
      <c r="R220" s="243"/>
      <c r="S220" s="385" t="str">
        <f t="shared" si="44"/>
        <v/>
      </c>
    </row>
    <row r="221" spans="2:19" ht="13.5" hidden="1" thickBot="1">
      <c r="B221" s="625" t="s">
        <v>187</v>
      </c>
      <c r="C221" s="401" t="s">
        <v>187</v>
      </c>
      <c r="D221" s="410"/>
      <c r="E221" s="403"/>
      <c r="F221" s="411"/>
      <c r="G221" s="405"/>
      <c r="H221" s="404"/>
      <c r="I221" s="406"/>
      <c r="J221" s="407"/>
      <c r="K221" s="412">
        <f t="shared" si="42"/>
        <v>0</v>
      </c>
      <c r="L221" s="431" t="s">
        <v>777</v>
      </c>
      <c r="M221" s="30"/>
      <c r="N221" s="30"/>
      <c r="O221" s="287">
        <f t="shared" si="43"/>
        <v>0</v>
      </c>
      <c r="P221" s="287">
        <f t="shared" si="41"/>
        <v>0</v>
      </c>
      <c r="Q221" s="288"/>
      <c r="R221" s="243"/>
      <c r="S221" s="385" t="str">
        <f t="shared" si="44"/>
        <v/>
      </c>
    </row>
    <row r="222" spans="2:19" ht="13.5" hidden="1" thickBot="1">
      <c r="B222" s="626" t="s">
        <v>187</v>
      </c>
      <c r="C222" s="413" t="s">
        <v>187</v>
      </c>
      <c r="D222" s="414"/>
      <c r="E222" s="415"/>
      <c r="F222" s="416"/>
      <c r="G222" s="417"/>
      <c r="H222" s="418"/>
      <c r="I222" s="419"/>
      <c r="J222" s="420"/>
      <c r="K222" s="421">
        <f t="shared" si="42"/>
        <v>0</v>
      </c>
      <c r="L222" s="432" t="s">
        <v>777</v>
      </c>
      <c r="M222" s="30"/>
      <c r="N222" s="30"/>
      <c r="O222" s="423">
        <f t="shared" si="43"/>
        <v>0</v>
      </c>
      <c r="P222" s="423">
        <f t="shared" si="41"/>
        <v>0</v>
      </c>
      <c r="Q222" s="288"/>
      <c r="R222" s="243"/>
      <c r="S222" s="385" t="str">
        <f t="shared" si="44"/>
        <v/>
      </c>
    </row>
    <row r="223" spans="2:19" ht="13.5" thickBot="1">
      <c r="B223" s="627" t="s">
        <v>231</v>
      </c>
      <c r="C223" s="684"/>
      <c r="D223" s="685" t="s">
        <v>491</v>
      </c>
      <c r="E223" s="679"/>
      <c r="F223" s="665"/>
      <c r="G223" s="666"/>
      <c r="H223" s="667"/>
      <c r="I223" s="619"/>
      <c r="J223" s="619"/>
      <c r="K223" s="619"/>
      <c r="L223" s="693" t="s">
        <v>777</v>
      </c>
      <c r="M223" s="382"/>
      <c r="N223" s="383"/>
      <c r="O223" s="383"/>
      <c r="P223" s="295"/>
      <c r="Q223" s="296">
        <f>SUM(P229:P448)</f>
        <v>190486.5</v>
      </c>
      <c r="R223" s="315" t="str">
        <f>IF(Q223&gt;0,"xy","")</f>
        <v>xy</v>
      </c>
      <c r="S223" s="385" t="str">
        <f t="shared" si="44"/>
        <v>x</v>
      </c>
    </row>
    <row r="224" spans="2:19" ht="13.5" hidden="1" thickBot="1">
      <c r="B224" s="629" t="s">
        <v>1806</v>
      </c>
      <c r="C224" s="694" t="s">
        <v>517</v>
      </c>
      <c r="D224" s="620" t="s">
        <v>245</v>
      </c>
      <c r="E224" s="695"/>
      <c r="F224" s="728"/>
      <c r="G224" s="729"/>
      <c r="H224" s="730"/>
      <c r="I224" s="731">
        <v>0.5</v>
      </c>
      <c r="J224" s="731">
        <f t="shared" ref="J224" si="45">IF(ISBLANK(I224),"",SUM(H224:I224))</f>
        <v>0.5</v>
      </c>
      <c r="K224" s="698">
        <f t="shared" ref="K224:K287" si="46">IF(ISBLANK(I224),0,ROUND(J224*(1+$F$10)*(1+$F$11*E224),2))</f>
        <v>0.61</v>
      </c>
      <c r="L224" s="699" t="s">
        <v>18</v>
      </c>
      <c r="M224" s="769"/>
      <c r="N224" s="770"/>
      <c r="O224" s="771">
        <f t="shared" ref="O224:O233" si="47">IF(ISBLANK(M224),0,ROUND(K224*M224,2))</f>
        <v>0</v>
      </c>
      <c r="P224" s="772">
        <f t="shared" ref="P224:P233" si="48">IF(ISBLANK(N224),0,ROUND(M224*N224,2))</f>
        <v>0</v>
      </c>
      <c r="Q224" s="288"/>
      <c r="R224" s="243"/>
      <c r="S224" s="385" t="str">
        <f t="shared" si="44"/>
        <v/>
      </c>
    </row>
    <row r="225" spans="2:20" ht="13.5" hidden="1" thickBot="1">
      <c r="B225" s="630" t="s">
        <v>779</v>
      </c>
      <c r="C225" s="700" t="s">
        <v>212</v>
      </c>
      <c r="D225" s="645" t="s">
        <v>1845</v>
      </c>
      <c r="E225" s="701"/>
      <c r="F225" s="734" t="s">
        <v>834</v>
      </c>
      <c r="G225" s="735">
        <v>1.1999999999999999E-3</v>
      </c>
      <c r="H225" s="736"/>
      <c r="I225" s="732">
        <v>0.33</v>
      </c>
      <c r="J225" s="732">
        <f>I225</f>
        <v>0.33</v>
      </c>
      <c r="K225" s="621">
        <f t="shared" si="46"/>
        <v>0.4</v>
      </c>
      <c r="L225" s="702" t="s">
        <v>18</v>
      </c>
      <c r="M225" s="773"/>
      <c r="N225" s="30"/>
      <c r="O225" s="386">
        <f t="shared" si="47"/>
        <v>0</v>
      </c>
      <c r="P225" s="774">
        <f t="shared" si="48"/>
        <v>0</v>
      </c>
      <c r="Q225" s="288"/>
      <c r="R225" s="243"/>
      <c r="S225" s="385" t="str">
        <f t="shared" si="44"/>
        <v/>
      </c>
    </row>
    <row r="226" spans="2:20" ht="13.5" hidden="1" thickBot="1">
      <c r="B226" s="631" t="s">
        <v>1844</v>
      </c>
      <c r="C226" s="703" t="s">
        <v>241</v>
      </c>
      <c r="D226" s="652" t="s">
        <v>958</v>
      </c>
      <c r="E226" s="704"/>
      <c r="F226" s="775">
        <v>500</v>
      </c>
      <c r="G226" s="776">
        <v>1</v>
      </c>
      <c r="H226" s="739">
        <f>(0.52*F226+25.75)*G226</f>
        <v>285.75</v>
      </c>
      <c r="I226" s="733">
        <v>3537.5</v>
      </c>
      <c r="J226" s="733">
        <f>IF(ISBLANK(I226),"",I226*(1+$F$9)/(1+$F$10))+H226</f>
        <v>3646.3021219612692</v>
      </c>
      <c r="K226" s="658">
        <f t="shared" si="46"/>
        <v>4424.79</v>
      </c>
      <c r="L226" s="705" t="s">
        <v>20</v>
      </c>
      <c r="M226" s="777">
        <f>ROUND(M225*G225,2)</f>
        <v>0</v>
      </c>
      <c r="N226" s="778"/>
      <c r="O226" s="436">
        <f t="shared" si="47"/>
        <v>0</v>
      </c>
      <c r="P226" s="437">
        <f t="shared" si="48"/>
        <v>0</v>
      </c>
      <c r="Q226" s="288"/>
      <c r="R226" s="243"/>
      <c r="S226" s="385" t="str">
        <f t="shared" si="44"/>
        <v/>
      </c>
    </row>
    <row r="227" spans="2:20" ht="13.5" hidden="1" thickBot="1">
      <c r="B227" s="630" t="s">
        <v>780</v>
      </c>
      <c r="C227" s="700" t="s">
        <v>212</v>
      </c>
      <c r="D227" s="645" t="s">
        <v>812</v>
      </c>
      <c r="E227" s="701"/>
      <c r="F227" s="734" t="s">
        <v>2093</v>
      </c>
      <c r="G227" s="735">
        <v>1.1000000000000001E-3</v>
      </c>
      <c r="H227" s="736"/>
      <c r="I227" s="732">
        <v>0.33</v>
      </c>
      <c r="J227" s="732">
        <f t="shared" ref="J227" si="49">IF(ISBLANK(I227),"",SUM(H227:I227))</f>
        <v>0.33</v>
      </c>
      <c r="K227" s="621">
        <f t="shared" si="46"/>
        <v>0.4</v>
      </c>
      <c r="L227" s="702" t="s">
        <v>18</v>
      </c>
      <c r="M227" s="773"/>
      <c r="N227" s="30"/>
      <c r="O227" s="386">
        <f t="shared" si="47"/>
        <v>0</v>
      </c>
      <c r="P227" s="774">
        <f t="shared" si="48"/>
        <v>0</v>
      </c>
      <c r="Q227" s="288"/>
      <c r="R227" s="243"/>
      <c r="S227" s="385" t="str">
        <f t="shared" si="44"/>
        <v/>
      </c>
    </row>
    <row r="228" spans="2:20" ht="13.5" hidden="1" thickBot="1">
      <c r="B228" s="631" t="s">
        <v>1879</v>
      </c>
      <c r="C228" s="703" t="s">
        <v>241</v>
      </c>
      <c r="D228" s="652" t="s">
        <v>959</v>
      </c>
      <c r="E228" s="704"/>
      <c r="F228" s="775">
        <v>500</v>
      </c>
      <c r="G228" s="776">
        <v>1</v>
      </c>
      <c r="H228" s="739">
        <f>(0.52*F228+25.75)*G228</f>
        <v>285.75</v>
      </c>
      <c r="I228" s="733">
        <v>3981.34</v>
      </c>
      <c r="J228" s="733">
        <f>IF(ISBLANK(I228),"",I228*(1+$F$9)/(1+$F$10))+H228</f>
        <v>4067.9409781623403</v>
      </c>
      <c r="K228" s="658">
        <f t="shared" si="46"/>
        <v>4936.45</v>
      </c>
      <c r="L228" s="705" t="s">
        <v>20</v>
      </c>
      <c r="M228" s="777">
        <f>ROUND(M227*G227,2)</f>
        <v>0</v>
      </c>
      <c r="N228" s="778"/>
      <c r="O228" s="436">
        <f t="shared" si="47"/>
        <v>0</v>
      </c>
      <c r="P228" s="437">
        <f t="shared" si="48"/>
        <v>0</v>
      </c>
      <c r="Q228" s="288"/>
      <c r="R228" s="243"/>
      <c r="S228" s="385" t="str">
        <f t="shared" si="44"/>
        <v/>
      </c>
    </row>
    <row r="229" spans="2:20">
      <c r="B229" s="630" t="s">
        <v>1039</v>
      </c>
      <c r="C229" s="700" t="s">
        <v>212</v>
      </c>
      <c r="D229" s="645" t="s">
        <v>813</v>
      </c>
      <c r="E229" s="701"/>
      <c r="F229" s="734" t="s">
        <v>2094</v>
      </c>
      <c r="G229" s="735">
        <v>1.1999999999999999E-3</v>
      </c>
      <c r="H229" s="736"/>
      <c r="I229" s="732">
        <v>0.44</v>
      </c>
      <c r="J229" s="732">
        <f t="shared" ref="J229:J231" si="50">IF(ISBLANK(I229),"",SUM(H229:I229))</f>
        <v>0.44</v>
      </c>
      <c r="K229" s="621">
        <f t="shared" si="46"/>
        <v>0.53</v>
      </c>
      <c r="L229" s="702" t="s">
        <v>18</v>
      </c>
      <c r="M229" s="773">
        <v>2268.2800000000002</v>
      </c>
      <c r="N229" s="30">
        <v>0.53</v>
      </c>
      <c r="O229" s="386">
        <f t="shared" si="47"/>
        <v>1202.19</v>
      </c>
      <c r="P229" s="774">
        <f t="shared" si="48"/>
        <v>1202.19</v>
      </c>
      <c r="Q229" s="288"/>
      <c r="R229" s="243" t="s">
        <v>174</v>
      </c>
      <c r="S229" s="385" t="str">
        <f t="shared" si="44"/>
        <v>x</v>
      </c>
      <c r="T229" s="3" t="s">
        <v>174</v>
      </c>
    </row>
    <row r="230" spans="2:20" ht="13.5" thickBot="1">
      <c r="B230" s="631" t="s">
        <v>1040</v>
      </c>
      <c r="C230" s="703" t="s">
        <v>241</v>
      </c>
      <c r="D230" s="652" t="s">
        <v>819</v>
      </c>
      <c r="E230" s="704"/>
      <c r="F230" s="775">
        <v>570</v>
      </c>
      <c r="G230" s="776">
        <v>1</v>
      </c>
      <c r="H230" s="739">
        <v>457.92</v>
      </c>
      <c r="I230" s="733">
        <v>7777.8</v>
      </c>
      <c r="J230" s="733">
        <f>IF(ISBLANK(I230),"",I230*(1+$F$9)/(1+$F$10))+H230</f>
        <v>7846.6697651421509</v>
      </c>
      <c r="K230" s="658">
        <f t="shared" si="46"/>
        <v>9521.93</v>
      </c>
      <c r="L230" s="705" t="s">
        <v>20</v>
      </c>
      <c r="M230" s="777">
        <f>ROUND(M229*G229,2)</f>
        <v>2.72</v>
      </c>
      <c r="N230" s="778">
        <v>9521.93</v>
      </c>
      <c r="O230" s="436">
        <f t="shared" si="47"/>
        <v>25899.65</v>
      </c>
      <c r="P230" s="437">
        <f t="shared" si="48"/>
        <v>25899.65</v>
      </c>
      <c r="Q230" s="288"/>
      <c r="R230" s="243" t="s">
        <v>174</v>
      </c>
      <c r="S230" s="385" t="str">
        <f t="shared" si="44"/>
        <v>x</v>
      </c>
      <c r="T230" s="3" t="s">
        <v>174</v>
      </c>
    </row>
    <row r="231" spans="2:20">
      <c r="B231" s="630" t="s">
        <v>1041</v>
      </c>
      <c r="C231" s="700" t="s">
        <v>212</v>
      </c>
      <c r="D231" s="645" t="s">
        <v>960</v>
      </c>
      <c r="E231" s="701"/>
      <c r="F231" s="734" t="s">
        <v>834</v>
      </c>
      <c r="G231" s="735">
        <v>5.0000000000000001E-4</v>
      </c>
      <c r="H231" s="736"/>
      <c r="I231" s="732">
        <v>0.3</v>
      </c>
      <c r="J231" s="732">
        <f t="shared" si="50"/>
        <v>0.3</v>
      </c>
      <c r="K231" s="621">
        <f t="shared" si="46"/>
        <v>0.36</v>
      </c>
      <c r="L231" s="702" t="s">
        <v>18</v>
      </c>
      <c r="M231" s="773">
        <v>2268.2800000000002</v>
      </c>
      <c r="N231" s="30">
        <v>0.36</v>
      </c>
      <c r="O231" s="386">
        <f t="shared" si="47"/>
        <v>816.58</v>
      </c>
      <c r="P231" s="774">
        <f t="shared" si="48"/>
        <v>816.58</v>
      </c>
      <c r="Q231" s="288"/>
      <c r="R231" s="243" t="s">
        <v>174</v>
      </c>
      <c r="S231" s="385" t="str">
        <f t="shared" si="44"/>
        <v>x</v>
      </c>
      <c r="T231" s="3" t="s">
        <v>174</v>
      </c>
    </row>
    <row r="232" spans="2:20" ht="13.5" thickBot="1">
      <c r="B232" s="631" t="s">
        <v>1037</v>
      </c>
      <c r="C232" s="703" t="s">
        <v>241</v>
      </c>
      <c r="D232" s="652" t="s">
        <v>961</v>
      </c>
      <c r="E232" s="704"/>
      <c r="F232" s="775">
        <v>570</v>
      </c>
      <c r="G232" s="779">
        <v>1</v>
      </c>
      <c r="H232" s="744">
        <v>457.92</v>
      </c>
      <c r="I232" s="733">
        <v>4520.62</v>
      </c>
      <c r="J232" s="733">
        <f>IF(ISBLANK(I232),"",I232*(1+$F$9)/(1+$F$10))+H232</f>
        <v>4752.4158681499794</v>
      </c>
      <c r="K232" s="658">
        <f t="shared" si="46"/>
        <v>5767.06</v>
      </c>
      <c r="L232" s="705" t="s">
        <v>20</v>
      </c>
      <c r="M232" s="777">
        <f>ROUND(M231*G231,2)</f>
        <v>1.1299999999999999</v>
      </c>
      <c r="N232" s="778">
        <v>5767.06</v>
      </c>
      <c r="O232" s="436">
        <f t="shared" si="47"/>
        <v>6516.78</v>
      </c>
      <c r="P232" s="437">
        <f t="shared" si="48"/>
        <v>6516.78</v>
      </c>
      <c r="Q232" s="288"/>
      <c r="R232" s="243" t="s">
        <v>174</v>
      </c>
      <c r="S232" s="385" t="str">
        <f t="shared" si="44"/>
        <v>x</v>
      </c>
      <c r="T232" s="3" t="s">
        <v>174</v>
      </c>
    </row>
    <row r="233" spans="2:20" ht="13.5" hidden="1" thickBot="1">
      <c r="B233" s="628" t="s">
        <v>1810</v>
      </c>
      <c r="C233" s="655" t="s">
        <v>212</v>
      </c>
      <c r="D233" s="611" t="s">
        <v>246</v>
      </c>
      <c r="E233" s="602"/>
      <c r="F233" s="603">
        <v>20</v>
      </c>
      <c r="G233" s="673">
        <v>0.3</v>
      </c>
      <c r="H233" s="608">
        <f t="shared" ref="H233:H234" si="51">IF(F233&lt;=30,(0.7*F233+1.45)*G233,((0.7*30+1.45)+0.58*(F233-30))*G233)</f>
        <v>4.6349999999999998</v>
      </c>
      <c r="I233" s="675">
        <v>22.76</v>
      </c>
      <c r="J233" s="675">
        <f t="shared" ref="J233" si="52">IF(ISBLANK(I233),"",SUM(H233:I233))</f>
        <v>27.395000000000003</v>
      </c>
      <c r="K233" s="606">
        <f t="shared" si="46"/>
        <v>33.24</v>
      </c>
      <c r="L233" s="607" t="s">
        <v>18</v>
      </c>
      <c r="M233" s="30"/>
      <c r="N233" s="30"/>
      <c r="O233" s="287">
        <f t="shared" si="47"/>
        <v>0</v>
      </c>
      <c r="P233" s="287">
        <f t="shared" si="48"/>
        <v>0</v>
      </c>
      <c r="Q233" s="288"/>
      <c r="R233" s="243"/>
      <c r="S233" s="385" t="str">
        <f t="shared" si="44"/>
        <v/>
      </c>
    </row>
    <row r="234" spans="2:20" ht="13.5" hidden="1" thickBot="1">
      <c r="B234" s="609" t="s">
        <v>1807</v>
      </c>
      <c r="C234" s="610" t="s">
        <v>212</v>
      </c>
      <c r="D234" s="611" t="s">
        <v>247</v>
      </c>
      <c r="E234" s="602"/>
      <c r="F234" s="603">
        <v>20</v>
      </c>
      <c r="G234" s="673">
        <v>7.6999999999999999E-2</v>
      </c>
      <c r="H234" s="608">
        <f t="shared" si="51"/>
        <v>1.1896499999999999</v>
      </c>
      <c r="I234" s="675">
        <v>9.84</v>
      </c>
      <c r="J234" s="675">
        <f>IF(ISBLANK(I234),"",SUM(H234:I234))</f>
        <v>11.02965</v>
      </c>
      <c r="K234" s="606">
        <f t="shared" si="46"/>
        <v>13.38</v>
      </c>
      <c r="L234" s="607" t="s">
        <v>19</v>
      </c>
      <c r="M234" s="30"/>
      <c r="N234" s="30"/>
      <c r="O234" s="287">
        <f t="shared" si="36"/>
        <v>0</v>
      </c>
      <c r="P234" s="287">
        <f t="shared" si="37"/>
        <v>0</v>
      </c>
      <c r="Q234" s="288"/>
      <c r="R234" s="243"/>
      <c r="S234" s="385" t="str">
        <f t="shared" si="44"/>
        <v/>
      </c>
    </row>
    <row r="235" spans="2:20" ht="13.5" hidden="1" thickBot="1">
      <c r="B235" s="609" t="s">
        <v>1811</v>
      </c>
      <c r="C235" s="610" t="s">
        <v>212</v>
      </c>
      <c r="D235" s="611" t="s">
        <v>518</v>
      </c>
      <c r="E235" s="602"/>
      <c r="F235" s="603"/>
      <c r="G235" s="673"/>
      <c r="H235" s="605"/>
      <c r="I235" s="675">
        <v>8.5500000000000007</v>
      </c>
      <c r="J235" s="675">
        <f>IF(ISBLANK(I235),"",SUM(H235:I235))</f>
        <v>8.5500000000000007</v>
      </c>
      <c r="K235" s="606">
        <f t="shared" si="46"/>
        <v>10.38</v>
      </c>
      <c r="L235" s="607" t="s">
        <v>18</v>
      </c>
      <c r="M235" s="30"/>
      <c r="N235" s="30"/>
      <c r="O235" s="287">
        <f t="shared" si="36"/>
        <v>0</v>
      </c>
      <c r="P235" s="287">
        <f t="shared" si="37"/>
        <v>0</v>
      </c>
      <c r="Q235" s="288"/>
      <c r="R235" s="243"/>
      <c r="S235" s="385" t="str">
        <f t="shared" si="44"/>
        <v/>
      </c>
    </row>
    <row r="236" spans="2:20" ht="13.5" hidden="1" thickBot="1">
      <c r="B236" s="609" t="s">
        <v>1812</v>
      </c>
      <c r="C236" s="610" t="s">
        <v>212</v>
      </c>
      <c r="D236" s="611" t="s">
        <v>248</v>
      </c>
      <c r="E236" s="602"/>
      <c r="F236" s="603"/>
      <c r="G236" s="673"/>
      <c r="H236" s="605"/>
      <c r="I236" s="675">
        <v>11.97</v>
      </c>
      <c r="J236" s="675">
        <f>IF(ISBLANK(I236),"",SUM(H236:I236))</f>
        <v>11.97</v>
      </c>
      <c r="K236" s="606">
        <f t="shared" si="46"/>
        <v>14.53</v>
      </c>
      <c r="L236" s="607" t="s">
        <v>18</v>
      </c>
      <c r="M236" s="30"/>
      <c r="N236" s="30"/>
      <c r="O236" s="287">
        <f t="shared" si="36"/>
        <v>0</v>
      </c>
      <c r="P236" s="287">
        <f t="shared" si="37"/>
        <v>0</v>
      </c>
      <c r="Q236" s="288"/>
      <c r="R236" s="243"/>
      <c r="S236" s="385" t="str">
        <f t="shared" si="44"/>
        <v/>
      </c>
    </row>
    <row r="237" spans="2:20" ht="13.5" hidden="1" thickBot="1">
      <c r="B237" s="609" t="s">
        <v>1818</v>
      </c>
      <c r="C237" s="610" t="s">
        <v>212</v>
      </c>
      <c r="D237" s="611" t="s">
        <v>249</v>
      </c>
      <c r="E237" s="602"/>
      <c r="F237" s="603">
        <v>20</v>
      </c>
      <c r="G237" s="604">
        <v>0.27200000000000002</v>
      </c>
      <c r="H237" s="608">
        <f t="shared" ref="H237:H250" si="53">IF(F237&lt;=30,(0.7*F237+1.45)*G237,((0.7*30+1.45)+0.58*(F237-30))*G237)</f>
        <v>4.2023999999999999</v>
      </c>
      <c r="I237" s="675">
        <v>84.59</v>
      </c>
      <c r="J237" s="675">
        <f>IF(ISBLANK(I237),"",SUM(H237:I237))</f>
        <v>88.792400000000001</v>
      </c>
      <c r="K237" s="606">
        <f t="shared" si="46"/>
        <v>107.75</v>
      </c>
      <c r="L237" s="607" t="s">
        <v>18</v>
      </c>
      <c r="M237" s="30"/>
      <c r="N237" s="30"/>
      <c r="O237" s="287">
        <f t="shared" si="36"/>
        <v>0</v>
      </c>
      <c r="P237" s="287">
        <f t="shared" si="37"/>
        <v>0</v>
      </c>
      <c r="Q237" s="288"/>
      <c r="R237" s="243"/>
      <c r="S237" s="385" t="str">
        <f t="shared" si="44"/>
        <v/>
      </c>
    </row>
    <row r="238" spans="2:20" ht="13.5" hidden="1" thickBot="1">
      <c r="B238" s="609" t="s">
        <v>1820</v>
      </c>
      <c r="C238" s="610" t="s">
        <v>212</v>
      </c>
      <c r="D238" s="611" t="s">
        <v>250</v>
      </c>
      <c r="E238" s="602"/>
      <c r="F238" s="603">
        <v>20</v>
      </c>
      <c r="G238" s="604">
        <f>2*0.04</f>
        <v>0.08</v>
      </c>
      <c r="H238" s="608">
        <f t="shared" si="53"/>
        <v>1.236</v>
      </c>
      <c r="I238" s="675">
        <v>40.720000000000006</v>
      </c>
      <c r="J238" s="675">
        <f>IF(ISBLANK(I238),"",SUM(H238:I238))</f>
        <v>41.956000000000003</v>
      </c>
      <c r="K238" s="606">
        <f t="shared" si="46"/>
        <v>50.91</v>
      </c>
      <c r="L238" s="607" t="s">
        <v>18</v>
      </c>
      <c r="M238" s="30"/>
      <c r="N238" s="30"/>
      <c r="O238" s="287">
        <f t="shared" si="36"/>
        <v>0</v>
      </c>
      <c r="P238" s="287">
        <f t="shared" si="37"/>
        <v>0</v>
      </c>
      <c r="Q238" s="288"/>
      <c r="R238" s="243"/>
      <c r="S238" s="385" t="str">
        <f t="shared" si="44"/>
        <v/>
      </c>
    </row>
    <row r="239" spans="2:20" ht="13.5" hidden="1" thickBot="1">
      <c r="B239" s="609" t="s">
        <v>1821</v>
      </c>
      <c r="C239" s="610" t="s">
        <v>212</v>
      </c>
      <c r="D239" s="611" t="s">
        <v>251</v>
      </c>
      <c r="E239" s="602"/>
      <c r="F239" s="603">
        <v>20</v>
      </c>
      <c r="G239" s="604">
        <f>2*0.05</f>
        <v>0.1</v>
      </c>
      <c r="H239" s="608">
        <f t="shared" si="53"/>
        <v>1.5449999999999999</v>
      </c>
      <c r="I239" s="675">
        <v>45.81</v>
      </c>
      <c r="J239" s="675">
        <f t="shared" ref="J239:J249" si="54">IF(ISBLANK(I239),"",SUM(H239:I239))</f>
        <v>47.355000000000004</v>
      </c>
      <c r="K239" s="606">
        <f t="shared" si="46"/>
        <v>57.47</v>
      </c>
      <c r="L239" s="607" t="s">
        <v>18</v>
      </c>
      <c r="M239" s="30"/>
      <c r="N239" s="30"/>
      <c r="O239" s="287">
        <f t="shared" si="36"/>
        <v>0</v>
      </c>
      <c r="P239" s="287">
        <f t="shared" si="37"/>
        <v>0</v>
      </c>
      <c r="Q239" s="288"/>
      <c r="R239" s="243"/>
      <c r="S239" s="385" t="str">
        <f t="shared" si="44"/>
        <v/>
      </c>
    </row>
    <row r="240" spans="2:20" ht="13.5" hidden="1" thickBot="1">
      <c r="B240" s="609" t="s">
        <v>1822</v>
      </c>
      <c r="C240" s="610" t="s">
        <v>212</v>
      </c>
      <c r="D240" s="611" t="s">
        <v>252</v>
      </c>
      <c r="E240" s="602"/>
      <c r="F240" s="603">
        <v>20</v>
      </c>
      <c r="G240" s="604">
        <f>2*0.06</f>
        <v>0.12</v>
      </c>
      <c r="H240" s="608">
        <f t="shared" si="53"/>
        <v>1.8539999999999999</v>
      </c>
      <c r="I240" s="675">
        <v>50.900000000000006</v>
      </c>
      <c r="J240" s="675">
        <f t="shared" si="54"/>
        <v>52.754000000000005</v>
      </c>
      <c r="K240" s="606">
        <f t="shared" si="46"/>
        <v>64.02</v>
      </c>
      <c r="L240" s="607" t="s">
        <v>18</v>
      </c>
      <c r="M240" s="30"/>
      <c r="N240" s="30"/>
      <c r="O240" s="287">
        <f t="shared" si="36"/>
        <v>0</v>
      </c>
      <c r="P240" s="287">
        <f t="shared" si="37"/>
        <v>0</v>
      </c>
      <c r="Q240" s="288"/>
      <c r="R240" s="243"/>
      <c r="S240" s="385" t="str">
        <f t="shared" si="44"/>
        <v/>
      </c>
    </row>
    <row r="241" spans="2:19" ht="13.5" hidden="1" thickBot="1">
      <c r="B241" s="609" t="s">
        <v>1823</v>
      </c>
      <c r="C241" s="610" t="s">
        <v>212</v>
      </c>
      <c r="D241" s="611" t="s">
        <v>253</v>
      </c>
      <c r="E241" s="602"/>
      <c r="F241" s="603">
        <v>20</v>
      </c>
      <c r="G241" s="604">
        <f>2*0.07</f>
        <v>0.14000000000000001</v>
      </c>
      <c r="H241" s="608">
        <f t="shared" si="53"/>
        <v>2.1630000000000003</v>
      </c>
      <c r="I241" s="675">
        <v>53.36</v>
      </c>
      <c r="J241" s="675">
        <f t="shared" si="54"/>
        <v>55.522999999999996</v>
      </c>
      <c r="K241" s="606">
        <f t="shared" si="46"/>
        <v>67.38</v>
      </c>
      <c r="L241" s="607" t="s">
        <v>18</v>
      </c>
      <c r="M241" s="30"/>
      <c r="N241" s="30"/>
      <c r="O241" s="287">
        <f t="shared" si="36"/>
        <v>0</v>
      </c>
      <c r="P241" s="287">
        <f t="shared" si="37"/>
        <v>0</v>
      </c>
      <c r="Q241" s="288"/>
      <c r="R241" s="243"/>
      <c r="S241" s="385" t="str">
        <f t="shared" si="44"/>
        <v/>
      </c>
    </row>
    <row r="242" spans="2:19" ht="13.5" hidden="1" thickBot="1">
      <c r="B242" s="609" t="s">
        <v>172</v>
      </c>
      <c r="C242" s="610" t="s">
        <v>212</v>
      </c>
      <c r="D242" s="611" t="s">
        <v>254</v>
      </c>
      <c r="E242" s="602"/>
      <c r="F242" s="603">
        <v>20</v>
      </c>
      <c r="G242" s="604">
        <f>2*0.08</f>
        <v>0.16</v>
      </c>
      <c r="H242" s="608">
        <f t="shared" si="53"/>
        <v>2.472</v>
      </c>
      <c r="I242" s="675">
        <v>55.81</v>
      </c>
      <c r="J242" s="675">
        <f t="shared" si="54"/>
        <v>58.282000000000004</v>
      </c>
      <c r="K242" s="606">
        <f t="shared" si="46"/>
        <v>70.73</v>
      </c>
      <c r="L242" s="607" t="s">
        <v>18</v>
      </c>
      <c r="M242" s="30"/>
      <c r="N242" s="30"/>
      <c r="O242" s="287">
        <f t="shared" si="36"/>
        <v>0</v>
      </c>
      <c r="P242" s="287">
        <f t="shared" si="37"/>
        <v>0</v>
      </c>
      <c r="Q242" s="288"/>
      <c r="R242" s="243"/>
      <c r="S242" s="385" t="str">
        <f t="shared" si="44"/>
        <v/>
      </c>
    </row>
    <row r="243" spans="2:19" ht="13.5" hidden="1" thickBot="1">
      <c r="B243" s="609" t="s">
        <v>235</v>
      </c>
      <c r="C243" s="610" t="s">
        <v>212</v>
      </c>
      <c r="D243" s="611" t="s">
        <v>255</v>
      </c>
      <c r="E243" s="602"/>
      <c r="F243" s="603">
        <v>20</v>
      </c>
      <c r="G243" s="604">
        <f>2*0.1</f>
        <v>0.2</v>
      </c>
      <c r="H243" s="608">
        <f t="shared" si="53"/>
        <v>3.09</v>
      </c>
      <c r="I243" s="675">
        <v>63.283183908045977</v>
      </c>
      <c r="J243" s="675">
        <f t="shared" si="54"/>
        <v>66.373183908045974</v>
      </c>
      <c r="K243" s="606">
        <f t="shared" si="46"/>
        <v>80.540000000000006</v>
      </c>
      <c r="L243" s="607" t="s">
        <v>18</v>
      </c>
      <c r="M243" s="30"/>
      <c r="N243" s="30"/>
      <c r="O243" s="287">
        <f t="shared" si="36"/>
        <v>0</v>
      </c>
      <c r="P243" s="287">
        <f t="shared" si="37"/>
        <v>0</v>
      </c>
      <c r="Q243" s="288"/>
      <c r="R243" s="243"/>
      <c r="S243" s="385" t="str">
        <f t="shared" si="44"/>
        <v/>
      </c>
    </row>
    <row r="244" spans="2:19" ht="13.5" hidden="1" thickBot="1">
      <c r="B244" s="609" t="s">
        <v>236</v>
      </c>
      <c r="C244" s="610" t="s">
        <v>212</v>
      </c>
      <c r="D244" s="611" t="s">
        <v>1019</v>
      </c>
      <c r="E244" s="602"/>
      <c r="F244" s="603">
        <v>20</v>
      </c>
      <c r="G244" s="604">
        <v>0.14000000000000001</v>
      </c>
      <c r="H244" s="608">
        <f t="shared" si="53"/>
        <v>2.1630000000000003</v>
      </c>
      <c r="I244" s="675">
        <v>50.900000000000006</v>
      </c>
      <c r="J244" s="675">
        <f t="shared" si="54"/>
        <v>53.063000000000002</v>
      </c>
      <c r="K244" s="606">
        <f t="shared" si="46"/>
        <v>64.39</v>
      </c>
      <c r="L244" s="607" t="s">
        <v>18</v>
      </c>
      <c r="M244" s="30"/>
      <c r="N244" s="30"/>
      <c r="O244" s="287">
        <f t="shared" si="36"/>
        <v>0</v>
      </c>
      <c r="P244" s="287">
        <f t="shared" si="37"/>
        <v>0</v>
      </c>
      <c r="Q244" s="288"/>
      <c r="R244" s="243"/>
      <c r="S244" s="385" t="str">
        <f t="shared" si="44"/>
        <v/>
      </c>
    </row>
    <row r="245" spans="2:19" ht="13.5" hidden="1" thickBot="1">
      <c r="B245" s="609" t="s">
        <v>237</v>
      </c>
      <c r="C245" s="610" t="s">
        <v>212</v>
      </c>
      <c r="D245" s="611" t="s">
        <v>1020</v>
      </c>
      <c r="E245" s="602"/>
      <c r="F245" s="603">
        <v>20</v>
      </c>
      <c r="G245" s="604">
        <v>0.14000000000000001</v>
      </c>
      <c r="H245" s="608">
        <f t="shared" si="53"/>
        <v>2.1630000000000003</v>
      </c>
      <c r="I245" s="675">
        <v>55.99</v>
      </c>
      <c r="J245" s="675">
        <f t="shared" si="54"/>
        <v>58.153000000000006</v>
      </c>
      <c r="K245" s="606">
        <f t="shared" si="46"/>
        <v>70.569999999999993</v>
      </c>
      <c r="L245" s="607" t="s">
        <v>18</v>
      </c>
      <c r="M245" s="30"/>
      <c r="N245" s="30"/>
      <c r="O245" s="287">
        <f t="shared" si="36"/>
        <v>0</v>
      </c>
      <c r="P245" s="287">
        <f t="shared" si="37"/>
        <v>0</v>
      </c>
      <c r="Q245" s="288"/>
      <c r="R245" s="243"/>
      <c r="S245" s="385" t="str">
        <f t="shared" si="44"/>
        <v/>
      </c>
    </row>
    <row r="246" spans="2:19" ht="13.5" hidden="1" thickBot="1">
      <c r="B246" s="609" t="s">
        <v>169</v>
      </c>
      <c r="C246" s="610" t="s">
        <v>212</v>
      </c>
      <c r="D246" s="611" t="s">
        <v>1021</v>
      </c>
      <c r="E246" s="602"/>
      <c r="F246" s="603">
        <v>20</v>
      </c>
      <c r="G246" s="604">
        <v>0.18</v>
      </c>
      <c r="H246" s="608">
        <f t="shared" si="53"/>
        <v>2.7809999999999997</v>
      </c>
      <c r="I246" s="675">
        <v>55.81</v>
      </c>
      <c r="J246" s="675">
        <f t="shared" si="54"/>
        <v>58.591000000000001</v>
      </c>
      <c r="K246" s="606">
        <f t="shared" si="46"/>
        <v>71.099999999999994</v>
      </c>
      <c r="L246" s="607" t="s">
        <v>18</v>
      </c>
      <c r="M246" s="30"/>
      <c r="N246" s="30"/>
      <c r="O246" s="287">
        <f t="shared" si="36"/>
        <v>0</v>
      </c>
      <c r="P246" s="287">
        <f t="shared" si="37"/>
        <v>0</v>
      </c>
      <c r="Q246" s="288"/>
      <c r="R246" s="243"/>
      <c r="S246" s="385" t="str">
        <f t="shared" si="44"/>
        <v/>
      </c>
    </row>
    <row r="247" spans="2:19" ht="13.5" hidden="1" thickBot="1">
      <c r="B247" s="609" t="s">
        <v>170</v>
      </c>
      <c r="C247" s="610" t="s">
        <v>212</v>
      </c>
      <c r="D247" s="611" t="s">
        <v>1022</v>
      </c>
      <c r="E247" s="602"/>
      <c r="F247" s="603">
        <v>20</v>
      </c>
      <c r="G247" s="604">
        <v>0.18</v>
      </c>
      <c r="H247" s="608">
        <f t="shared" si="53"/>
        <v>2.7809999999999997</v>
      </c>
      <c r="I247" s="675">
        <v>61.39</v>
      </c>
      <c r="J247" s="675">
        <f t="shared" si="54"/>
        <v>64.171000000000006</v>
      </c>
      <c r="K247" s="606">
        <f t="shared" si="46"/>
        <v>77.87</v>
      </c>
      <c r="L247" s="607" t="s">
        <v>18</v>
      </c>
      <c r="M247" s="30"/>
      <c r="N247" s="30"/>
      <c r="O247" s="287">
        <f t="shared" si="36"/>
        <v>0</v>
      </c>
      <c r="P247" s="287">
        <f t="shared" si="37"/>
        <v>0</v>
      </c>
      <c r="Q247" s="288"/>
      <c r="R247" s="243"/>
      <c r="S247" s="385" t="str">
        <f t="shared" si="44"/>
        <v/>
      </c>
    </row>
    <row r="248" spans="2:19" ht="13.5" hidden="1" thickBot="1">
      <c r="B248" s="609" t="s">
        <v>171</v>
      </c>
      <c r="C248" s="610" t="s">
        <v>212</v>
      </c>
      <c r="D248" s="611" t="s">
        <v>1023</v>
      </c>
      <c r="E248" s="602"/>
      <c r="F248" s="603">
        <v>20</v>
      </c>
      <c r="G248" s="604">
        <v>0.22</v>
      </c>
      <c r="H248" s="608">
        <f t="shared" si="53"/>
        <v>3.399</v>
      </c>
      <c r="I248" s="675">
        <v>63.283183908045977</v>
      </c>
      <c r="J248" s="675">
        <f t="shared" si="54"/>
        <v>66.682183908045971</v>
      </c>
      <c r="K248" s="606">
        <f t="shared" si="46"/>
        <v>80.92</v>
      </c>
      <c r="L248" s="607" t="s">
        <v>18</v>
      </c>
      <c r="M248" s="30"/>
      <c r="N248" s="30"/>
      <c r="O248" s="287">
        <f t="shared" si="36"/>
        <v>0</v>
      </c>
      <c r="P248" s="287">
        <f t="shared" si="37"/>
        <v>0</v>
      </c>
      <c r="Q248" s="288"/>
      <c r="R248" s="243"/>
      <c r="S248" s="385" t="str">
        <f t="shared" si="44"/>
        <v/>
      </c>
    </row>
    <row r="249" spans="2:19" ht="13.5" hidden="1" thickBot="1">
      <c r="B249" s="609" t="s">
        <v>238</v>
      </c>
      <c r="C249" s="610" t="s">
        <v>212</v>
      </c>
      <c r="D249" s="611" t="s">
        <v>1024</v>
      </c>
      <c r="E249" s="602"/>
      <c r="F249" s="603">
        <v>20</v>
      </c>
      <c r="G249" s="604">
        <v>0.22</v>
      </c>
      <c r="H249" s="608">
        <f t="shared" si="53"/>
        <v>3.399</v>
      </c>
      <c r="I249" s="675">
        <v>69.61</v>
      </c>
      <c r="J249" s="675">
        <f t="shared" si="54"/>
        <v>73.009</v>
      </c>
      <c r="K249" s="606">
        <f t="shared" si="46"/>
        <v>88.6</v>
      </c>
      <c r="L249" s="607" t="s">
        <v>18</v>
      </c>
      <c r="M249" s="30"/>
      <c r="N249" s="30"/>
      <c r="O249" s="287">
        <f t="shared" si="36"/>
        <v>0</v>
      </c>
      <c r="P249" s="287">
        <f t="shared" si="37"/>
        <v>0</v>
      </c>
      <c r="Q249" s="288"/>
      <c r="R249" s="243"/>
      <c r="S249" s="385" t="str">
        <f t="shared" si="44"/>
        <v/>
      </c>
    </row>
    <row r="250" spans="2:19" ht="13.5" hidden="1" thickBot="1">
      <c r="B250" s="641" t="s">
        <v>1824</v>
      </c>
      <c r="C250" s="610" t="s">
        <v>843</v>
      </c>
      <c r="D250" s="620" t="s">
        <v>1025</v>
      </c>
      <c r="E250" s="695"/>
      <c r="F250" s="696">
        <v>20</v>
      </c>
      <c r="G250" s="706">
        <v>0.3</v>
      </c>
      <c r="H250" s="608">
        <f t="shared" si="53"/>
        <v>4.6349999999999998</v>
      </c>
      <c r="I250" s="697">
        <v>120.01</v>
      </c>
      <c r="J250" s="697">
        <f>IF(ISBLANK(I250),"",SUM(H250:I250))</f>
        <v>124.64500000000001</v>
      </c>
      <c r="K250" s="606">
        <f t="shared" si="46"/>
        <v>151.26</v>
      </c>
      <c r="L250" s="607" t="s">
        <v>18</v>
      </c>
      <c r="M250" s="656"/>
      <c r="N250" s="657"/>
      <c r="O250" s="436">
        <f t="shared" si="36"/>
        <v>0</v>
      </c>
      <c r="P250" s="287">
        <f t="shared" si="37"/>
        <v>0</v>
      </c>
      <c r="Q250" s="288"/>
      <c r="R250" s="243"/>
      <c r="S250" s="385" t="str">
        <f t="shared" si="44"/>
        <v/>
      </c>
    </row>
    <row r="251" spans="2:19" ht="13.5" hidden="1" thickBot="1">
      <c r="B251" s="632" t="s">
        <v>1836</v>
      </c>
      <c r="C251" s="714" t="s">
        <v>212</v>
      </c>
      <c r="D251" s="645" t="s">
        <v>814</v>
      </c>
      <c r="E251" s="701"/>
      <c r="F251" s="734" t="s">
        <v>815</v>
      </c>
      <c r="G251" s="735">
        <v>1.5E-3</v>
      </c>
      <c r="H251" s="736">
        <f>SUM(H252:H254)</f>
        <v>0.332403</v>
      </c>
      <c r="I251" s="732">
        <v>2.0500000000000003</v>
      </c>
      <c r="J251" s="732">
        <f t="shared" ref="J251:J266" si="55">IF(ISBLANK(I251),"",SUM(H251:I251))</f>
        <v>2.382403</v>
      </c>
      <c r="K251" s="621">
        <f t="shared" si="46"/>
        <v>2.89</v>
      </c>
      <c r="L251" s="702" t="s">
        <v>18</v>
      </c>
      <c r="M251" s="780"/>
      <c r="N251" s="781"/>
      <c r="O251" s="386">
        <f t="shared" si="36"/>
        <v>0</v>
      </c>
      <c r="P251" s="435">
        <f t="shared" si="37"/>
        <v>0</v>
      </c>
      <c r="Q251" s="288"/>
      <c r="R251" s="243"/>
      <c r="S251" s="385" t="str">
        <f t="shared" si="44"/>
        <v/>
      </c>
    </row>
    <row r="252" spans="2:19" ht="13.5" hidden="1" thickBot="1">
      <c r="B252" s="609" t="s">
        <v>168</v>
      </c>
      <c r="C252" s="610"/>
      <c r="D252" s="707" t="s">
        <v>256</v>
      </c>
      <c r="E252" s="602"/>
      <c r="F252" s="737">
        <v>180</v>
      </c>
      <c r="G252" s="738" t="s">
        <v>86</v>
      </c>
      <c r="H252" s="739">
        <f t="shared" ref="H252:H254" si="56">IF(F252&lt;=30,(0.7*F252+1.45)*G252,((0.7*30+1.45)+0.58*(F252-30))*G252)</f>
        <v>0.27362500000000001</v>
      </c>
      <c r="I252" s="387"/>
      <c r="J252" s="387"/>
      <c r="K252" s="606">
        <f t="shared" si="46"/>
        <v>0</v>
      </c>
      <c r="L252" s="607" t="s">
        <v>777</v>
      </c>
      <c r="M252" s="782"/>
      <c r="N252" s="430"/>
      <c r="O252" s="287">
        <f t="shared" si="36"/>
        <v>0</v>
      </c>
      <c r="P252" s="391">
        <f t="shared" si="37"/>
        <v>0</v>
      </c>
      <c r="Q252" s="288"/>
      <c r="R252" s="315" t="str">
        <f>IF(P251&gt;0,"xy","")</f>
        <v/>
      </c>
      <c r="S252" s="385" t="str">
        <f t="shared" si="44"/>
        <v/>
      </c>
    </row>
    <row r="253" spans="2:19" ht="13.5" hidden="1" thickBot="1">
      <c r="B253" s="609" t="s">
        <v>168</v>
      </c>
      <c r="C253" s="610"/>
      <c r="D253" s="707" t="s">
        <v>257</v>
      </c>
      <c r="E253" s="602"/>
      <c r="F253" s="737">
        <v>500</v>
      </c>
      <c r="G253" s="738" t="s">
        <v>87</v>
      </c>
      <c r="H253" s="740">
        <f>IF(F253&lt;=30,(0.51*F253+4.28)*G253,((0.51*30+4.28)+0.42*(F253-30))*G253)</f>
        <v>2.1698000000000002E-2</v>
      </c>
      <c r="I253" s="387"/>
      <c r="J253" s="387"/>
      <c r="K253" s="606">
        <f t="shared" si="46"/>
        <v>0</v>
      </c>
      <c r="L253" s="607" t="s">
        <v>777</v>
      </c>
      <c r="M253" s="782"/>
      <c r="N253" s="430"/>
      <c r="O253" s="287">
        <f t="shared" si="36"/>
        <v>0</v>
      </c>
      <c r="P253" s="391">
        <f t="shared" si="37"/>
        <v>0</v>
      </c>
      <c r="Q253" s="288"/>
      <c r="R253" s="315" t="str">
        <f>IF(P251&gt;0,"xy","")</f>
        <v/>
      </c>
      <c r="S253" s="385" t="str">
        <f t="shared" si="44"/>
        <v/>
      </c>
    </row>
    <row r="254" spans="2:19" ht="13.5" hidden="1" thickBot="1">
      <c r="B254" s="609" t="s">
        <v>168</v>
      </c>
      <c r="C254" s="610"/>
      <c r="D254" s="707" t="s">
        <v>258</v>
      </c>
      <c r="E254" s="602"/>
      <c r="F254" s="737">
        <v>20</v>
      </c>
      <c r="G254" s="741" t="s">
        <v>88</v>
      </c>
      <c r="H254" s="739">
        <f t="shared" si="56"/>
        <v>3.7079999999999995E-2</v>
      </c>
      <c r="I254" s="387"/>
      <c r="J254" s="387"/>
      <c r="K254" s="606">
        <f t="shared" si="46"/>
        <v>0</v>
      </c>
      <c r="L254" s="607" t="s">
        <v>777</v>
      </c>
      <c r="M254" s="782"/>
      <c r="N254" s="430"/>
      <c r="O254" s="287">
        <f t="shared" si="36"/>
        <v>0</v>
      </c>
      <c r="P254" s="391">
        <f t="shared" si="37"/>
        <v>0</v>
      </c>
      <c r="Q254" s="288"/>
      <c r="R254" s="315" t="str">
        <f>IF(P251&gt;0,"xy","")</f>
        <v/>
      </c>
      <c r="S254" s="385" t="str">
        <f t="shared" si="44"/>
        <v/>
      </c>
    </row>
    <row r="255" spans="2:19" ht="13.5" hidden="1" thickBot="1">
      <c r="B255" s="633" t="s">
        <v>1856</v>
      </c>
      <c r="C255" s="715" t="s">
        <v>241</v>
      </c>
      <c r="D255" s="646" t="s">
        <v>962</v>
      </c>
      <c r="E255" s="704"/>
      <c r="F255" s="742">
        <v>500</v>
      </c>
      <c r="G255" s="743">
        <v>1</v>
      </c>
      <c r="H255" s="744">
        <f>(0.52*F255+25.75)*G255</f>
        <v>285.75</v>
      </c>
      <c r="I255" s="733">
        <v>3428.76</v>
      </c>
      <c r="J255" s="733">
        <f>IF(ISBLANK(I255),"",I255*(1+$F$9)/(1+$F$10))+H255</f>
        <v>3543.0013621755256</v>
      </c>
      <c r="K255" s="658">
        <f t="shared" si="46"/>
        <v>4299.43</v>
      </c>
      <c r="L255" s="705" t="s">
        <v>20</v>
      </c>
      <c r="M255" s="777">
        <f>ROUND(M251*G251,2)</f>
        <v>0</v>
      </c>
      <c r="N255" s="783"/>
      <c r="O255" s="436">
        <f t="shared" si="36"/>
        <v>0</v>
      </c>
      <c r="P255" s="437">
        <f t="shared" si="37"/>
        <v>0</v>
      </c>
      <c r="Q255" s="288"/>
      <c r="R255" s="315" t="str">
        <f>IF(P138&gt;0,"xy","")</f>
        <v/>
      </c>
      <c r="S255" s="385" t="str">
        <f t="shared" si="44"/>
        <v/>
      </c>
    </row>
    <row r="256" spans="2:19" ht="13.5" hidden="1" thickBot="1">
      <c r="B256" s="632" t="s">
        <v>1837</v>
      </c>
      <c r="C256" s="714" t="s">
        <v>212</v>
      </c>
      <c r="D256" s="645" t="s">
        <v>817</v>
      </c>
      <c r="E256" s="701"/>
      <c r="F256" s="734" t="s">
        <v>815</v>
      </c>
      <c r="G256" s="735">
        <v>1.8E-3</v>
      </c>
      <c r="H256" s="736">
        <f>SUM(H257:H259)</f>
        <v>0.49638599999999999</v>
      </c>
      <c r="I256" s="732">
        <v>2.0500000000000003</v>
      </c>
      <c r="J256" s="732">
        <f t="shared" si="55"/>
        <v>2.546386</v>
      </c>
      <c r="K256" s="621">
        <f t="shared" si="46"/>
        <v>3.09</v>
      </c>
      <c r="L256" s="702" t="s">
        <v>18</v>
      </c>
      <c r="M256" s="780"/>
      <c r="N256" s="781"/>
      <c r="O256" s="434">
        <f t="shared" si="36"/>
        <v>0</v>
      </c>
      <c r="P256" s="435">
        <f t="shared" si="37"/>
        <v>0</v>
      </c>
      <c r="Q256" s="288"/>
      <c r="R256" s="243"/>
      <c r="S256" s="385" t="str">
        <f t="shared" si="44"/>
        <v/>
      </c>
    </row>
    <row r="257" spans="2:19" ht="13.5" hidden="1" thickBot="1">
      <c r="B257" s="609" t="s">
        <v>168</v>
      </c>
      <c r="C257" s="610"/>
      <c r="D257" s="707" t="s">
        <v>256</v>
      </c>
      <c r="E257" s="602"/>
      <c r="F257" s="737">
        <v>180</v>
      </c>
      <c r="G257" s="738" t="s">
        <v>89</v>
      </c>
      <c r="H257" s="739">
        <f t="shared" ref="H257:H259" si="57">IF(F257&lt;=30,(0.7*F257+1.45)*G257,((0.7*30+1.45)+0.58*(F257-30))*G257)</f>
        <v>0.41591</v>
      </c>
      <c r="I257" s="387"/>
      <c r="J257" s="387"/>
      <c r="K257" s="606">
        <f t="shared" si="46"/>
        <v>0</v>
      </c>
      <c r="L257" s="607" t="s">
        <v>777</v>
      </c>
      <c r="M257" s="782"/>
      <c r="N257" s="430"/>
      <c r="O257" s="287">
        <f t="shared" si="36"/>
        <v>0</v>
      </c>
      <c r="P257" s="391">
        <f t="shared" si="37"/>
        <v>0</v>
      </c>
      <c r="Q257" s="288"/>
      <c r="R257" s="315" t="str">
        <f>IF(P256&gt;0,"xy","")</f>
        <v/>
      </c>
      <c r="S257" s="385" t="str">
        <f t="shared" si="44"/>
        <v/>
      </c>
    </row>
    <row r="258" spans="2:19" ht="13.5" hidden="1" thickBot="1">
      <c r="B258" s="609" t="s">
        <v>168</v>
      </c>
      <c r="C258" s="610"/>
      <c r="D258" s="707" t="s">
        <v>257</v>
      </c>
      <c r="E258" s="602"/>
      <c r="F258" s="737">
        <v>500</v>
      </c>
      <c r="G258" s="738" t="s">
        <v>90</v>
      </c>
      <c r="H258" s="740">
        <f>IF(F258&lt;=30,(0.51*F258+4.28)*G258,((0.51*30+4.28)+0.42*(F258-30))*G258)</f>
        <v>4.3396000000000004E-2</v>
      </c>
      <c r="I258" s="387"/>
      <c r="J258" s="387"/>
      <c r="K258" s="606">
        <f t="shared" si="46"/>
        <v>0</v>
      </c>
      <c r="L258" s="607" t="s">
        <v>777</v>
      </c>
      <c r="M258" s="782"/>
      <c r="N258" s="430"/>
      <c r="O258" s="287">
        <f t="shared" si="36"/>
        <v>0</v>
      </c>
      <c r="P258" s="391">
        <f t="shared" si="37"/>
        <v>0</v>
      </c>
      <c r="Q258" s="288"/>
      <c r="R258" s="315" t="str">
        <f>IF(P256&gt;0,"xy","")</f>
        <v/>
      </c>
      <c r="S258" s="385" t="str">
        <f t="shared" si="44"/>
        <v/>
      </c>
    </row>
    <row r="259" spans="2:19" ht="13.5" hidden="1" thickBot="1">
      <c r="B259" s="609" t="s">
        <v>168</v>
      </c>
      <c r="C259" s="610"/>
      <c r="D259" s="648" t="s">
        <v>258</v>
      </c>
      <c r="E259" s="602"/>
      <c r="F259" s="737">
        <v>20</v>
      </c>
      <c r="G259" s="741" t="s">
        <v>88</v>
      </c>
      <c r="H259" s="739">
        <f t="shared" si="57"/>
        <v>3.7079999999999995E-2</v>
      </c>
      <c r="I259" s="387"/>
      <c r="J259" s="387"/>
      <c r="K259" s="606">
        <f t="shared" si="46"/>
        <v>0</v>
      </c>
      <c r="L259" s="607" t="s">
        <v>777</v>
      </c>
      <c r="M259" s="782"/>
      <c r="N259" s="430"/>
      <c r="O259" s="287">
        <f t="shared" si="36"/>
        <v>0</v>
      </c>
      <c r="P259" s="391">
        <f t="shared" si="37"/>
        <v>0</v>
      </c>
      <c r="Q259" s="288"/>
      <c r="R259" s="315" t="str">
        <f>IF(P256&gt;0,"xy","")</f>
        <v/>
      </c>
      <c r="S259" s="385" t="str">
        <f t="shared" si="44"/>
        <v/>
      </c>
    </row>
    <row r="260" spans="2:19" ht="13.5" hidden="1" thickBot="1">
      <c r="B260" s="623" t="s">
        <v>1857</v>
      </c>
      <c r="C260" s="715" t="s">
        <v>241</v>
      </c>
      <c r="D260" s="708" t="s">
        <v>963</v>
      </c>
      <c r="E260" s="709"/>
      <c r="F260" s="742">
        <v>500</v>
      </c>
      <c r="G260" s="743">
        <v>1</v>
      </c>
      <c r="H260" s="744">
        <f>(0.52*F260+25.75)*G260</f>
        <v>285.75</v>
      </c>
      <c r="I260" s="745">
        <v>3428.76</v>
      </c>
      <c r="J260" s="733">
        <f>IF(ISBLANK(I260),"",I260*(1+$F$9)/(1+$F$10))+H260</f>
        <v>3543.0013621755256</v>
      </c>
      <c r="K260" s="640">
        <f t="shared" si="46"/>
        <v>4299.43</v>
      </c>
      <c r="L260" s="705" t="s">
        <v>20</v>
      </c>
      <c r="M260" s="777">
        <f>ROUND(M256*G256,2)</f>
        <v>0</v>
      </c>
      <c r="N260" s="783"/>
      <c r="O260" s="436">
        <f t="shared" si="36"/>
        <v>0</v>
      </c>
      <c r="P260" s="437">
        <f t="shared" si="37"/>
        <v>0</v>
      </c>
      <c r="Q260" s="288"/>
      <c r="R260" s="315" t="str">
        <f>IF(P138&gt;0,"xy","")</f>
        <v/>
      </c>
      <c r="S260" s="385" t="str">
        <f t="shared" si="44"/>
        <v/>
      </c>
    </row>
    <row r="261" spans="2:19" ht="13.5" hidden="1" thickBot="1">
      <c r="B261" s="632" t="s">
        <v>1838</v>
      </c>
      <c r="C261" s="714" t="s">
        <v>212</v>
      </c>
      <c r="D261" s="645" t="s">
        <v>818</v>
      </c>
      <c r="E261" s="701"/>
      <c r="F261" s="734" t="s">
        <v>815</v>
      </c>
      <c r="G261" s="735">
        <v>2E-3</v>
      </c>
      <c r="H261" s="736">
        <f>SUM(H262:H264)</f>
        <v>0.78842100000000004</v>
      </c>
      <c r="I261" s="732">
        <v>2.7700000000000005</v>
      </c>
      <c r="J261" s="732">
        <f t="shared" si="55"/>
        <v>3.5584210000000005</v>
      </c>
      <c r="K261" s="621">
        <f t="shared" si="46"/>
        <v>4.32</v>
      </c>
      <c r="L261" s="702" t="s">
        <v>18</v>
      </c>
      <c r="M261" s="780"/>
      <c r="N261" s="781"/>
      <c r="O261" s="434">
        <f t="shared" si="36"/>
        <v>0</v>
      </c>
      <c r="P261" s="435">
        <f t="shared" si="37"/>
        <v>0</v>
      </c>
      <c r="Q261" s="288"/>
      <c r="R261" s="243"/>
      <c r="S261" s="385" t="str">
        <f t="shared" si="44"/>
        <v/>
      </c>
    </row>
    <row r="262" spans="2:19" ht="13.5" hidden="1" thickBot="1">
      <c r="B262" s="609" t="s">
        <v>168</v>
      </c>
      <c r="C262" s="610"/>
      <c r="D262" s="707" t="s">
        <v>256</v>
      </c>
      <c r="E262" s="602"/>
      <c r="F262" s="737">
        <v>180</v>
      </c>
      <c r="G262" s="738" t="s">
        <v>91</v>
      </c>
      <c r="H262" s="739">
        <f t="shared" ref="H262:H264" si="58">IF(F262&lt;=30,(0.7*F262+1.45)*G262,((0.7*30+1.45)+0.58*(F262-30))*G262)</f>
        <v>0.67859000000000003</v>
      </c>
      <c r="I262" s="387"/>
      <c r="J262" s="387"/>
      <c r="K262" s="606">
        <f t="shared" si="46"/>
        <v>0</v>
      </c>
      <c r="L262" s="607" t="s">
        <v>777</v>
      </c>
      <c r="M262" s="782"/>
      <c r="N262" s="430"/>
      <c r="O262" s="287">
        <f t="shared" si="36"/>
        <v>0</v>
      </c>
      <c r="P262" s="391">
        <f t="shared" si="37"/>
        <v>0</v>
      </c>
      <c r="Q262" s="288"/>
      <c r="R262" s="315" t="str">
        <f>IF(P261&gt;0,"xy","")</f>
        <v/>
      </c>
      <c r="S262" s="385" t="str">
        <f t="shared" si="44"/>
        <v/>
      </c>
    </row>
    <row r="263" spans="2:19" ht="13.5" hidden="1" thickBot="1">
      <c r="B263" s="609" t="s">
        <v>168</v>
      </c>
      <c r="C263" s="610"/>
      <c r="D263" s="707" t="s">
        <v>257</v>
      </c>
      <c r="E263" s="602"/>
      <c r="F263" s="737">
        <v>500</v>
      </c>
      <c r="G263" s="738" t="s">
        <v>90</v>
      </c>
      <c r="H263" s="740">
        <f>IF(F263&lt;=30,(0.51*F263+4.28)*G263,((0.51*30+4.28)+0.42*(F263-30))*G263)</f>
        <v>4.3396000000000004E-2</v>
      </c>
      <c r="I263" s="387"/>
      <c r="J263" s="387"/>
      <c r="K263" s="606">
        <f t="shared" si="46"/>
        <v>0</v>
      </c>
      <c r="L263" s="607" t="s">
        <v>777</v>
      </c>
      <c r="M263" s="782"/>
      <c r="N263" s="430"/>
      <c r="O263" s="287">
        <f t="shared" si="36"/>
        <v>0</v>
      </c>
      <c r="P263" s="391">
        <f t="shared" si="37"/>
        <v>0</v>
      </c>
      <c r="Q263" s="288"/>
      <c r="R263" s="315" t="str">
        <f>IF(P261&gt;0,"xy","")</f>
        <v/>
      </c>
      <c r="S263" s="385" t="str">
        <f t="shared" si="44"/>
        <v/>
      </c>
    </row>
    <row r="264" spans="2:19" ht="13.5" hidden="1" thickBot="1">
      <c r="B264" s="609" t="s">
        <v>168</v>
      </c>
      <c r="C264" s="610"/>
      <c r="D264" s="648" t="s">
        <v>258</v>
      </c>
      <c r="E264" s="602"/>
      <c r="F264" s="737">
        <v>20</v>
      </c>
      <c r="G264" s="741" t="s">
        <v>92</v>
      </c>
      <c r="H264" s="739">
        <f t="shared" si="58"/>
        <v>6.6434999999999994E-2</v>
      </c>
      <c r="I264" s="387"/>
      <c r="J264" s="387"/>
      <c r="K264" s="606">
        <f t="shared" si="46"/>
        <v>0</v>
      </c>
      <c r="L264" s="607" t="s">
        <v>777</v>
      </c>
      <c r="M264" s="782"/>
      <c r="N264" s="430"/>
      <c r="O264" s="287">
        <f t="shared" si="36"/>
        <v>0</v>
      </c>
      <c r="P264" s="391">
        <f t="shared" si="37"/>
        <v>0</v>
      </c>
      <c r="Q264" s="288"/>
      <c r="R264" s="315" t="str">
        <f>IF(P261&gt;0,"xy","")</f>
        <v/>
      </c>
      <c r="S264" s="385" t="str">
        <f t="shared" si="44"/>
        <v/>
      </c>
    </row>
    <row r="265" spans="2:19" ht="13.5" hidden="1" thickBot="1">
      <c r="B265" s="623" t="s">
        <v>1858</v>
      </c>
      <c r="C265" s="715" t="s">
        <v>241</v>
      </c>
      <c r="D265" s="708" t="s">
        <v>964</v>
      </c>
      <c r="E265" s="709"/>
      <c r="F265" s="742">
        <v>500</v>
      </c>
      <c r="G265" s="743">
        <v>1</v>
      </c>
      <c r="H265" s="744">
        <f>(0.52*F265+25.75)*G265</f>
        <v>285.75</v>
      </c>
      <c r="I265" s="745">
        <v>3428.76</v>
      </c>
      <c r="J265" s="733">
        <f>IF(ISBLANK(I265),"",I265*(1+$F$9)/(1+$F$10))+H265</f>
        <v>3543.0013621755256</v>
      </c>
      <c r="K265" s="640">
        <f t="shared" si="46"/>
        <v>4299.43</v>
      </c>
      <c r="L265" s="705" t="s">
        <v>20</v>
      </c>
      <c r="M265" s="777">
        <f>ROUND(M261*G261,2)</f>
        <v>0</v>
      </c>
      <c r="N265" s="783"/>
      <c r="O265" s="436">
        <f t="shared" si="36"/>
        <v>0</v>
      </c>
      <c r="P265" s="437">
        <f t="shared" si="37"/>
        <v>0</v>
      </c>
      <c r="Q265" s="288"/>
      <c r="R265" s="315" t="str">
        <f>IF(P143&gt;0,"xy","")</f>
        <v/>
      </c>
      <c r="S265" s="385" t="str">
        <f t="shared" si="44"/>
        <v/>
      </c>
    </row>
    <row r="266" spans="2:19" ht="13.5" hidden="1" thickBot="1">
      <c r="B266" s="632" t="s">
        <v>1839</v>
      </c>
      <c r="C266" s="714" t="s">
        <v>212</v>
      </c>
      <c r="D266" s="645" t="s">
        <v>816</v>
      </c>
      <c r="E266" s="701"/>
      <c r="F266" s="734" t="s">
        <v>815</v>
      </c>
      <c r="G266" s="735">
        <v>2.5999999999999999E-3</v>
      </c>
      <c r="H266" s="736">
        <f>SUM(H267:H269)</f>
        <v>1.5159370000000001</v>
      </c>
      <c r="I266" s="732">
        <v>2.7700000000000005</v>
      </c>
      <c r="J266" s="732">
        <f t="shared" si="55"/>
        <v>4.2859370000000006</v>
      </c>
      <c r="K266" s="621">
        <f t="shared" si="46"/>
        <v>5.2</v>
      </c>
      <c r="L266" s="702" t="s">
        <v>18</v>
      </c>
      <c r="M266" s="780"/>
      <c r="N266" s="781"/>
      <c r="O266" s="434">
        <f t="shared" si="36"/>
        <v>0</v>
      </c>
      <c r="P266" s="435">
        <f t="shared" si="37"/>
        <v>0</v>
      </c>
      <c r="Q266" s="288"/>
      <c r="R266" s="243"/>
      <c r="S266" s="385" t="str">
        <f t="shared" si="44"/>
        <v/>
      </c>
    </row>
    <row r="267" spans="2:19" ht="13.5" hidden="1" thickBot="1">
      <c r="B267" s="609" t="s">
        <v>168</v>
      </c>
      <c r="C267" s="610"/>
      <c r="D267" s="707" t="s">
        <v>256</v>
      </c>
      <c r="E267" s="602"/>
      <c r="F267" s="737">
        <v>180</v>
      </c>
      <c r="G267" s="738" t="s">
        <v>93</v>
      </c>
      <c r="H267" s="739">
        <f t="shared" ref="H267:H269" si="59">IF(F267&lt;=30,(0.7*F267+1.45)*G267,((0.7*30+1.45)+0.58*(F267-30))*G267)</f>
        <v>1.3024550000000001</v>
      </c>
      <c r="I267" s="387"/>
      <c r="J267" s="387"/>
      <c r="K267" s="606">
        <f t="shared" si="46"/>
        <v>0</v>
      </c>
      <c r="L267" s="607" t="s">
        <v>777</v>
      </c>
      <c r="M267" s="782"/>
      <c r="N267" s="430"/>
      <c r="O267" s="287">
        <f t="shared" si="36"/>
        <v>0</v>
      </c>
      <c r="P267" s="391">
        <f t="shared" si="37"/>
        <v>0</v>
      </c>
      <c r="Q267" s="288"/>
      <c r="R267" s="315" t="str">
        <f>IF(P266&gt;0,"xy","")</f>
        <v/>
      </c>
      <c r="S267" s="385" t="str">
        <f t="shared" si="44"/>
        <v/>
      </c>
    </row>
    <row r="268" spans="2:19" ht="13.5" hidden="1" thickBot="1">
      <c r="B268" s="609" t="s">
        <v>168</v>
      </c>
      <c r="C268" s="610"/>
      <c r="D268" s="707" t="s">
        <v>257</v>
      </c>
      <c r="E268" s="602"/>
      <c r="F268" s="737">
        <v>500</v>
      </c>
      <c r="G268" s="738" t="s">
        <v>94</v>
      </c>
      <c r="H268" s="740">
        <f>IF(F268&lt;=30,(0.51*F268+4.28)*G268,((0.51*30+4.28)+0.42*(F268-30))*G268)</f>
        <v>8.6792000000000008E-2</v>
      </c>
      <c r="I268" s="387"/>
      <c r="J268" s="387"/>
      <c r="K268" s="606">
        <f t="shared" si="46"/>
        <v>0</v>
      </c>
      <c r="L268" s="607" t="s">
        <v>777</v>
      </c>
      <c r="M268" s="782"/>
      <c r="N268" s="430"/>
      <c r="O268" s="287">
        <f t="shared" si="36"/>
        <v>0</v>
      </c>
      <c r="P268" s="391">
        <f t="shared" si="37"/>
        <v>0</v>
      </c>
      <c r="Q268" s="288"/>
      <c r="R268" s="315" t="str">
        <f>IF(P266&gt;0,"xy","")</f>
        <v/>
      </c>
      <c r="S268" s="385" t="str">
        <f t="shared" si="44"/>
        <v/>
      </c>
    </row>
    <row r="269" spans="2:19" ht="13.5" hidden="1" thickBot="1">
      <c r="B269" s="609" t="s">
        <v>168</v>
      </c>
      <c r="C269" s="610"/>
      <c r="D269" s="648" t="s">
        <v>258</v>
      </c>
      <c r="E269" s="602"/>
      <c r="F269" s="737">
        <v>20</v>
      </c>
      <c r="G269" s="741" t="s">
        <v>95</v>
      </c>
      <c r="H269" s="739">
        <f t="shared" si="59"/>
        <v>0.12669</v>
      </c>
      <c r="I269" s="387"/>
      <c r="J269" s="387"/>
      <c r="K269" s="606">
        <f t="shared" si="46"/>
        <v>0</v>
      </c>
      <c r="L269" s="607" t="s">
        <v>777</v>
      </c>
      <c r="M269" s="782"/>
      <c r="N269" s="430"/>
      <c r="O269" s="287">
        <f t="shared" si="36"/>
        <v>0</v>
      </c>
      <c r="P269" s="391">
        <f t="shared" si="37"/>
        <v>0</v>
      </c>
      <c r="Q269" s="288"/>
      <c r="R269" s="315" t="str">
        <f>IF(P266&gt;0,"xy","")</f>
        <v/>
      </c>
      <c r="S269" s="385" t="str">
        <f t="shared" si="44"/>
        <v/>
      </c>
    </row>
    <row r="270" spans="2:19" ht="13.5" hidden="1" thickBot="1">
      <c r="B270" s="634" t="s">
        <v>1859</v>
      </c>
      <c r="C270" s="715" t="s">
        <v>241</v>
      </c>
      <c r="D270" s="711" t="s">
        <v>965</v>
      </c>
      <c r="E270" s="712"/>
      <c r="F270" s="742">
        <v>500</v>
      </c>
      <c r="G270" s="743">
        <v>1</v>
      </c>
      <c r="H270" s="744">
        <f>(0.52*F270+25.75)*G270</f>
        <v>285.75</v>
      </c>
      <c r="I270" s="746">
        <v>3428.76</v>
      </c>
      <c r="J270" s="733">
        <f>IF(ISBLANK(I270),"",I270*(1+$F$9)/(1+$F$10))+H270</f>
        <v>3543.0013621755256</v>
      </c>
      <c r="K270" s="713">
        <f t="shared" si="46"/>
        <v>4299.43</v>
      </c>
      <c r="L270" s="705" t="s">
        <v>20</v>
      </c>
      <c r="M270" s="777">
        <f>ROUND(M266*G266,2)</f>
        <v>0</v>
      </c>
      <c r="N270" s="783"/>
      <c r="O270" s="436">
        <f t="shared" si="36"/>
        <v>0</v>
      </c>
      <c r="P270" s="437">
        <f t="shared" si="37"/>
        <v>0</v>
      </c>
      <c r="Q270" s="288"/>
      <c r="R270" s="315" t="str">
        <f>IF(P148&gt;0,"xy","")</f>
        <v/>
      </c>
      <c r="S270" s="385" t="str">
        <f t="shared" si="44"/>
        <v/>
      </c>
    </row>
    <row r="271" spans="2:19" ht="13.5" hidden="1" thickBot="1">
      <c r="B271" s="632">
        <v>587000</v>
      </c>
      <c r="C271" s="714" t="s">
        <v>212</v>
      </c>
      <c r="D271" s="645" t="s">
        <v>259</v>
      </c>
      <c r="E271" s="701"/>
      <c r="F271" s="734" t="s">
        <v>828</v>
      </c>
      <c r="G271" s="735">
        <v>1.5E-3</v>
      </c>
      <c r="H271" s="736">
        <f>SUM(H272:H272)</f>
        <v>0.23174999999999998</v>
      </c>
      <c r="I271" s="732">
        <v>3.13</v>
      </c>
      <c r="J271" s="732">
        <f t="shared" ref="J271:J298" si="60">IF(ISBLANK(I271),"",SUM(H271:I271))</f>
        <v>3.3617499999999998</v>
      </c>
      <c r="K271" s="621">
        <f t="shared" si="46"/>
        <v>4.08</v>
      </c>
      <c r="L271" s="702" t="s">
        <v>18</v>
      </c>
      <c r="M271" s="780"/>
      <c r="N271" s="781"/>
      <c r="O271" s="434">
        <f t="shared" si="36"/>
        <v>0</v>
      </c>
      <c r="P271" s="435">
        <f t="shared" si="37"/>
        <v>0</v>
      </c>
      <c r="Q271" s="288"/>
      <c r="R271" s="243"/>
      <c r="S271" s="385" t="str">
        <f t="shared" si="44"/>
        <v/>
      </c>
    </row>
    <row r="272" spans="2:19" ht="13.5" hidden="1" thickBot="1">
      <c r="B272" s="609" t="s">
        <v>168</v>
      </c>
      <c r="C272" s="610"/>
      <c r="D272" s="648" t="s">
        <v>260</v>
      </c>
      <c r="E272" s="602"/>
      <c r="F272" s="747">
        <v>20</v>
      </c>
      <c r="G272" s="784">
        <v>1.4999999999999999E-2</v>
      </c>
      <c r="H272" s="739">
        <f t="shared" ref="H272" si="61">IF(F272&lt;=30,(0.7*F272+1.45)*G272,((0.7*30+1.45)+0.58*(F272-30))*G272)</f>
        <v>0.23174999999999998</v>
      </c>
      <c r="I272" s="387"/>
      <c r="J272" s="387"/>
      <c r="K272" s="606">
        <f t="shared" si="46"/>
        <v>0</v>
      </c>
      <c r="L272" s="607" t="s">
        <v>777</v>
      </c>
      <c r="M272" s="782"/>
      <c r="N272" s="430"/>
      <c r="O272" s="287">
        <f t="shared" si="36"/>
        <v>0</v>
      </c>
      <c r="P272" s="391">
        <f t="shared" si="37"/>
        <v>0</v>
      </c>
      <c r="Q272" s="288"/>
      <c r="R272" s="315" t="str">
        <f>IF(P271&gt;0,"xy","")</f>
        <v/>
      </c>
      <c r="S272" s="385" t="str">
        <f t="shared" si="44"/>
        <v/>
      </c>
    </row>
    <row r="273" spans="2:19" ht="13.5" hidden="1" thickBot="1">
      <c r="B273" s="633" t="s">
        <v>1847</v>
      </c>
      <c r="C273" s="715" t="s">
        <v>241</v>
      </c>
      <c r="D273" s="646" t="s">
        <v>966</v>
      </c>
      <c r="E273" s="704"/>
      <c r="F273" s="742">
        <v>500</v>
      </c>
      <c r="G273" s="743">
        <v>1</v>
      </c>
      <c r="H273" s="744">
        <f>(0.52*F273+25.75)*G273</f>
        <v>285.75</v>
      </c>
      <c r="I273" s="733">
        <v>3897.06</v>
      </c>
      <c r="J273" s="733">
        <f>IF(ISBLANK(I273),"",I273*(1+$F$9)/(1+$F$10))+H273</f>
        <v>3987.8767144622993</v>
      </c>
      <c r="K273" s="658">
        <f t="shared" si="46"/>
        <v>4839.29</v>
      </c>
      <c r="L273" s="705" t="s">
        <v>20</v>
      </c>
      <c r="M273" s="777">
        <f>ROUND(M271*G271,2)</f>
        <v>0</v>
      </c>
      <c r="N273" s="785"/>
      <c r="O273" s="436">
        <f t="shared" si="36"/>
        <v>0</v>
      </c>
      <c r="P273" s="437">
        <f t="shared" si="37"/>
        <v>0</v>
      </c>
      <c r="Q273" s="288"/>
      <c r="R273" s="315" t="str">
        <f>IF(P138&gt;0,"xy","")</f>
        <v/>
      </c>
      <c r="S273" s="385" t="str">
        <f t="shared" si="44"/>
        <v/>
      </c>
    </row>
    <row r="274" spans="2:19" ht="13.5" hidden="1" thickBot="1">
      <c r="B274" s="632" t="s">
        <v>1945</v>
      </c>
      <c r="C274" s="714" t="s">
        <v>212</v>
      </c>
      <c r="D274" s="647" t="s">
        <v>261</v>
      </c>
      <c r="E274" s="701"/>
      <c r="F274" s="734" t="s">
        <v>828</v>
      </c>
      <c r="G274" s="735">
        <v>3.0999999999999999E-3</v>
      </c>
      <c r="H274" s="736">
        <f>SUM(H275:H275)</f>
        <v>0.406335</v>
      </c>
      <c r="I274" s="732">
        <v>4.78</v>
      </c>
      <c r="J274" s="732">
        <f t="shared" si="60"/>
        <v>5.1863350000000006</v>
      </c>
      <c r="K274" s="621">
        <f t="shared" si="46"/>
        <v>6.29</v>
      </c>
      <c r="L274" s="702" t="s">
        <v>18</v>
      </c>
      <c r="M274" s="780"/>
      <c r="N274" s="781"/>
      <c r="O274" s="434">
        <f t="shared" si="36"/>
        <v>0</v>
      </c>
      <c r="P274" s="435">
        <f t="shared" si="37"/>
        <v>0</v>
      </c>
      <c r="Q274" s="288"/>
      <c r="R274" s="243"/>
      <c r="S274" s="385" t="str">
        <f t="shared" si="44"/>
        <v/>
      </c>
    </row>
    <row r="275" spans="2:19" ht="13.5" hidden="1" thickBot="1">
      <c r="B275" s="609" t="s">
        <v>168</v>
      </c>
      <c r="C275" s="610"/>
      <c r="D275" s="648" t="s">
        <v>260</v>
      </c>
      <c r="E275" s="602"/>
      <c r="F275" s="747">
        <v>20</v>
      </c>
      <c r="G275" s="741">
        <v>2.63E-2</v>
      </c>
      <c r="H275" s="739">
        <f t="shared" ref="H275" si="62">IF(F275&lt;=30,(0.7*F275+1.45)*G275,((0.7*30+1.45)+0.58*(F275-30))*G275)</f>
        <v>0.406335</v>
      </c>
      <c r="I275" s="387"/>
      <c r="J275" s="387"/>
      <c r="K275" s="606">
        <f t="shared" si="46"/>
        <v>0</v>
      </c>
      <c r="L275" s="607" t="s">
        <v>777</v>
      </c>
      <c r="M275" s="782"/>
      <c r="N275" s="430"/>
      <c r="O275" s="287">
        <f t="shared" si="36"/>
        <v>0</v>
      </c>
      <c r="P275" s="391">
        <f t="shared" si="37"/>
        <v>0</v>
      </c>
      <c r="Q275" s="288"/>
      <c r="R275" s="315" t="str">
        <f>IF(P274&gt;0,"xy","")</f>
        <v/>
      </c>
      <c r="S275" s="385" t="str">
        <f t="shared" si="44"/>
        <v/>
      </c>
    </row>
    <row r="276" spans="2:19" ht="13.5" hidden="1" thickBot="1">
      <c r="B276" s="633" t="s">
        <v>1848</v>
      </c>
      <c r="C276" s="715" t="s">
        <v>241</v>
      </c>
      <c r="D276" s="646" t="s">
        <v>967</v>
      </c>
      <c r="E276" s="704"/>
      <c r="F276" s="742">
        <v>500</v>
      </c>
      <c r="G276" s="743">
        <v>1</v>
      </c>
      <c r="H276" s="744">
        <f>(0.52*F276+25.75)*G276</f>
        <v>285.75</v>
      </c>
      <c r="I276" s="733">
        <v>3897.06</v>
      </c>
      <c r="J276" s="733">
        <f>IF(ISBLANK(I276),"",I276*(1+$F$9)/(1+$F$10))+H276</f>
        <v>3987.8767144622993</v>
      </c>
      <c r="K276" s="658">
        <f t="shared" si="46"/>
        <v>4839.29</v>
      </c>
      <c r="L276" s="705" t="s">
        <v>20</v>
      </c>
      <c r="M276" s="777">
        <f>ROUND(M274*G274,2)</f>
        <v>0</v>
      </c>
      <c r="N276" s="785"/>
      <c r="O276" s="436">
        <f t="shared" si="36"/>
        <v>0</v>
      </c>
      <c r="P276" s="437">
        <f t="shared" si="37"/>
        <v>0</v>
      </c>
      <c r="Q276" s="288"/>
      <c r="R276" s="315" t="str">
        <f>IF(P138&gt;0,"xy","")</f>
        <v/>
      </c>
      <c r="S276" s="385" t="str">
        <f t="shared" si="44"/>
        <v/>
      </c>
    </row>
    <row r="277" spans="2:19" ht="13.5" hidden="1" thickBot="1">
      <c r="B277" s="632" t="s">
        <v>1946</v>
      </c>
      <c r="C277" s="714" t="s">
        <v>212</v>
      </c>
      <c r="D277" s="647" t="s">
        <v>262</v>
      </c>
      <c r="E277" s="701"/>
      <c r="F277" s="734" t="s">
        <v>828</v>
      </c>
      <c r="G277" s="735">
        <v>3.3999999999999998E-3</v>
      </c>
      <c r="H277" s="736">
        <f>SUM(H278:H278)</f>
        <v>0.47122499999999995</v>
      </c>
      <c r="I277" s="732">
        <v>4.78</v>
      </c>
      <c r="J277" s="732">
        <f t="shared" si="60"/>
        <v>5.2512249999999998</v>
      </c>
      <c r="K277" s="621">
        <f t="shared" si="46"/>
        <v>6.37</v>
      </c>
      <c r="L277" s="702" t="s">
        <v>18</v>
      </c>
      <c r="M277" s="780"/>
      <c r="N277" s="781"/>
      <c r="O277" s="434">
        <f t="shared" si="36"/>
        <v>0</v>
      </c>
      <c r="P277" s="435">
        <f t="shared" si="37"/>
        <v>0</v>
      </c>
      <c r="Q277" s="288"/>
      <c r="R277" s="243"/>
      <c r="S277" s="385" t="str">
        <f t="shared" si="44"/>
        <v/>
      </c>
    </row>
    <row r="278" spans="2:19" ht="13.5" hidden="1" thickBot="1">
      <c r="B278" s="609" t="s">
        <v>168</v>
      </c>
      <c r="C278" s="610"/>
      <c r="D278" s="649" t="s">
        <v>260</v>
      </c>
      <c r="E278" s="602"/>
      <c r="F278" s="747">
        <v>20</v>
      </c>
      <c r="G278" s="741">
        <v>3.0499999999999999E-2</v>
      </c>
      <c r="H278" s="739">
        <f t="shared" ref="H278" si="63">IF(F278&lt;=30,(0.7*F278+1.45)*G278,((0.7*30+1.45)+0.58*(F278-30))*G278)</f>
        <v>0.47122499999999995</v>
      </c>
      <c r="I278" s="387"/>
      <c r="J278" s="387"/>
      <c r="K278" s="606">
        <f t="shared" si="46"/>
        <v>0</v>
      </c>
      <c r="L278" s="607" t="s">
        <v>777</v>
      </c>
      <c r="M278" s="782"/>
      <c r="N278" s="430"/>
      <c r="O278" s="287">
        <f t="shared" ref="O278:O353" si="64">IF(ISBLANK(M278),0,ROUND(K278*M278,2))</f>
        <v>0</v>
      </c>
      <c r="P278" s="391">
        <f t="shared" ref="P278:P353" si="65">IF(ISBLANK(N278),0,ROUND(M278*N278,2))</f>
        <v>0</v>
      </c>
      <c r="Q278" s="288"/>
      <c r="R278" s="315" t="str">
        <f>IF(P277&gt;0,"xy","")</f>
        <v/>
      </c>
      <c r="S278" s="385" t="str">
        <f t="shared" si="44"/>
        <v/>
      </c>
    </row>
    <row r="279" spans="2:19" ht="13.5" hidden="1" thickBot="1">
      <c r="B279" s="633" t="s">
        <v>1849</v>
      </c>
      <c r="C279" s="715" t="s">
        <v>241</v>
      </c>
      <c r="D279" s="646" t="s">
        <v>1860</v>
      </c>
      <c r="E279" s="704"/>
      <c r="F279" s="742">
        <v>500</v>
      </c>
      <c r="G279" s="743">
        <v>1</v>
      </c>
      <c r="H279" s="744">
        <f>(0.52*F279+25.75)*G279</f>
        <v>285.75</v>
      </c>
      <c r="I279" s="733">
        <v>3897.06</v>
      </c>
      <c r="J279" s="733">
        <f>IF(ISBLANK(I279),"",I279*(1+$F$9)/(1+$F$10))+H279</f>
        <v>3987.8767144622993</v>
      </c>
      <c r="K279" s="658">
        <f t="shared" si="46"/>
        <v>4839.29</v>
      </c>
      <c r="L279" s="705" t="s">
        <v>20</v>
      </c>
      <c r="M279" s="777">
        <f>ROUND(M277*G277,2)</f>
        <v>0</v>
      </c>
      <c r="N279" s="785"/>
      <c r="O279" s="436">
        <f t="shared" si="64"/>
        <v>0</v>
      </c>
      <c r="P279" s="437">
        <f t="shared" si="65"/>
        <v>0</v>
      </c>
      <c r="Q279" s="288"/>
      <c r="R279" s="315" t="str">
        <f>IF(P138&gt;0,"xy","")</f>
        <v/>
      </c>
      <c r="S279" s="385" t="str">
        <f t="shared" si="44"/>
        <v/>
      </c>
    </row>
    <row r="280" spans="2:19" ht="13.5" hidden="1" thickBot="1">
      <c r="B280" s="632" t="s">
        <v>1947</v>
      </c>
      <c r="C280" s="714" t="s">
        <v>212</v>
      </c>
      <c r="D280" s="647" t="s">
        <v>263</v>
      </c>
      <c r="E280" s="701"/>
      <c r="F280" s="734" t="s">
        <v>828</v>
      </c>
      <c r="G280" s="735">
        <v>3.8E-3</v>
      </c>
      <c r="H280" s="736">
        <f>SUM(H281:H281)</f>
        <v>0.56855999999999995</v>
      </c>
      <c r="I280" s="732">
        <v>4.78</v>
      </c>
      <c r="J280" s="732">
        <f t="shared" si="60"/>
        <v>5.34856</v>
      </c>
      <c r="K280" s="621">
        <f t="shared" si="46"/>
        <v>6.49</v>
      </c>
      <c r="L280" s="702" t="s">
        <v>18</v>
      </c>
      <c r="M280" s="780"/>
      <c r="N280" s="781"/>
      <c r="O280" s="434">
        <f t="shared" si="64"/>
        <v>0</v>
      </c>
      <c r="P280" s="435">
        <f t="shared" si="65"/>
        <v>0</v>
      </c>
      <c r="Q280" s="288"/>
      <c r="R280" s="243"/>
      <c r="S280" s="385" t="str">
        <f t="shared" si="44"/>
        <v/>
      </c>
    </row>
    <row r="281" spans="2:19" ht="13.5" hidden="1" thickBot="1">
      <c r="B281" s="609" t="s">
        <v>168</v>
      </c>
      <c r="C281" s="610"/>
      <c r="D281" s="649" t="s">
        <v>260</v>
      </c>
      <c r="E281" s="602"/>
      <c r="F281" s="747">
        <v>20</v>
      </c>
      <c r="G281" s="741">
        <v>3.6799999999999999E-2</v>
      </c>
      <c r="H281" s="739">
        <f t="shared" ref="H281" si="66">IF(F281&lt;=30,(0.7*F281+1.45)*G281,((0.7*30+1.45)+0.58*(F281-30))*G281)</f>
        <v>0.56855999999999995</v>
      </c>
      <c r="I281" s="387"/>
      <c r="J281" s="387"/>
      <c r="K281" s="606">
        <f t="shared" si="46"/>
        <v>0</v>
      </c>
      <c r="L281" s="607" t="s">
        <v>777</v>
      </c>
      <c r="M281" s="782"/>
      <c r="N281" s="430"/>
      <c r="O281" s="287">
        <f t="shared" si="64"/>
        <v>0</v>
      </c>
      <c r="P281" s="391">
        <f t="shared" si="65"/>
        <v>0</v>
      </c>
      <c r="Q281" s="288"/>
      <c r="R281" s="315" t="str">
        <f>IF(P280&gt;0,"xy","")</f>
        <v/>
      </c>
      <c r="S281" s="385" t="str">
        <f t="shared" si="44"/>
        <v/>
      </c>
    </row>
    <row r="282" spans="2:19" ht="13.5" hidden="1" thickBot="1">
      <c r="B282" s="633" t="s">
        <v>1850</v>
      </c>
      <c r="C282" s="715" t="s">
        <v>241</v>
      </c>
      <c r="D282" s="646" t="s">
        <v>968</v>
      </c>
      <c r="E282" s="704"/>
      <c r="F282" s="742">
        <v>500</v>
      </c>
      <c r="G282" s="743">
        <v>1</v>
      </c>
      <c r="H282" s="744">
        <f>(0.52*F282+25.75)*G282</f>
        <v>285.75</v>
      </c>
      <c r="I282" s="733">
        <v>3897.06</v>
      </c>
      <c r="J282" s="733">
        <f>IF(ISBLANK(I282),"",I282*(1+$F$9)/(1+$F$10))+H282</f>
        <v>3987.8767144622993</v>
      </c>
      <c r="K282" s="658">
        <f t="shared" si="46"/>
        <v>4839.29</v>
      </c>
      <c r="L282" s="705" t="s">
        <v>20</v>
      </c>
      <c r="M282" s="777">
        <f>ROUND(M280*G280,2)</f>
        <v>0</v>
      </c>
      <c r="N282" s="785"/>
      <c r="O282" s="436">
        <f t="shared" si="64"/>
        <v>0</v>
      </c>
      <c r="P282" s="437">
        <f t="shared" si="65"/>
        <v>0</v>
      </c>
      <c r="Q282" s="288"/>
      <c r="R282" s="315" t="str">
        <f>IF(P138&gt;0,"xy","")</f>
        <v/>
      </c>
      <c r="S282" s="385" t="str">
        <f t="shared" si="44"/>
        <v/>
      </c>
    </row>
    <row r="283" spans="2:19" ht="13.5" hidden="1" thickBot="1">
      <c r="B283" s="632" t="s">
        <v>1948</v>
      </c>
      <c r="C283" s="714" t="s">
        <v>212</v>
      </c>
      <c r="D283" s="647" t="s">
        <v>264</v>
      </c>
      <c r="E283" s="701"/>
      <c r="F283" s="734" t="s">
        <v>828</v>
      </c>
      <c r="G283" s="735">
        <v>3.3E-3</v>
      </c>
      <c r="H283" s="736">
        <f>SUM(H284:H284)</f>
        <v>0.43878</v>
      </c>
      <c r="I283" s="732">
        <v>5.94</v>
      </c>
      <c r="J283" s="732">
        <f t="shared" si="60"/>
        <v>6.3787800000000008</v>
      </c>
      <c r="K283" s="621">
        <f t="shared" si="46"/>
        <v>7.74</v>
      </c>
      <c r="L283" s="702" t="s">
        <v>18</v>
      </c>
      <c r="M283" s="780"/>
      <c r="N283" s="781"/>
      <c r="O283" s="434">
        <f t="shared" si="64"/>
        <v>0</v>
      </c>
      <c r="P283" s="435">
        <f t="shared" si="65"/>
        <v>0</v>
      </c>
      <c r="Q283" s="288"/>
      <c r="R283" s="243"/>
      <c r="S283" s="385" t="str">
        <f t="shared" ref="S283:S358" si="67">IF(R283="x","x",IF(R283="y","x",IF(R283="xy","x",IF(P283&gt;0,"x",""))))</f>
        <v/>
      </c>
    </row>
    <row r="284" spans="2:19" ht="13.5" hidden="1" thickBot="1">
      <c r="B284" s="609" t="s">
        <v>168</v>
      </c>
      <c r="C284" s="610"/>
      <c r="D284" s="649" t="s">
        <v>260</v>
      </c>
      <c r="E284" s="602"/>
      <c r="F284" s="747">
        <v>20</v>
      </c>
      <c r="G284" s="741">
        <v>2.8400000000000002E-2</v>
      </c>
      <c r="H284" s="739">
        <f t="shared" ref="H284" si="68">IF(F284&lt;=30,(0.7*F284+1.45)*G284,((0.7*30+1.45)+0.58*(F284-30))*G284)</f>
        <v>0.43878</v>
      </c>
      <c r="I284" s="387"/>
      <c r="J284" s="387"/>
      <c r="K284" s="606">
        <f t="shared" si="46"/>
        <v>0</v>
      </c>
      <c r="L284" s="607" t="s">
        <v>777</v>
      </c>
      <c r="M284" s="782"/>
      <c r="N284" s="430"/>
      <c r="O284" s="287">
        <f t="shared" si="64"/>
        <v>0</v>
      </c>
      <c r="P284" s="391">
        <f t="shared" si="65"/>
        <v>0</v>
      </c>
      <c r="Q284" s="288"/>
      <c r="R284" s="315" t="str">
        <f>IF(P283&gt;0,"xy","")</f>
        <v/>
      </c>
      <c r="S284" s="385" t="str">
        <f t="shared" si="67"/>
        <v/>
      </c>
    </row>
    <row r="285" spans="2:19" ht="13.5" hidden="1" thickBot="1">
      <c r="B285" s="633" t="s">
        <v>1851</v>
      </c>
      <c r="C285" s="715" t="s">
        <v>241</v>
      </c>
      <c r="D285" s="646" t="s">
        <v>969</v>
      </c>
      <c r="E285" s="704"/>
      <c r="F285" s="742">
        <v>500</v>
      </c>
      <c r="G285" s="743">
        <v>1</v>
      </c>
      <c r="H285" s="744">
        <f>(0.52*F285+25.75)*G285</f>
        <v>285.75</v>
      </c>
      <c r="I285" s="733">
        <v>3897.06</v>
      </c>
      <c r="J285" s="733">
        <f>IF(ISBLANK(I285),"",I285*(1+$F$9)/(1+$F$10))+H285</f>
        <v>3987.8767144622993</v>
      </c>
      <c r="K285" s="658">
        <f t="shared" si="46"/>
        <v>4839.29</v>
      </c>
      <c r="L285" s="705" t="s">
        <v>20</v>
      </c>
      <c r="M285" s="777">
        <f>ROUND(M283*G283,2)</f>
        <v>0</v>
      </c>
      <c r="N285" s="785"/>
      <c r="O285" s="436">
        <f t="shared" si="64"/>
        <v>0</v>
      </c>
      <c r="P285" s="437">
        <f t="shared" si="65"/>
        <v>0</v>
      </c>
      <c r="Q285" s="288"/>
      <c r="R285" s="315" t="str">
        <f>IF(P138&gt;0,"xy","")</f>
        <v/>
      </c>
      <c r="S285" s="385" t="str">
        <f t="shared" si="67"/>
        <v/>
      </c>
    </row>
    <row r="286" spans="2:19" ht="13.5" hidden="1" thickBot="1">
      <c r="B286" s="632" t="s">
        <v>1949</v>
      </c>
      <c r="C286" s="714" t="s">
        <v>212</v>
      </c>
      <c r="D286" s="647" t="s">
        <v>265</v>
      </c>
      <c r="E286" s="701"/>
      <c r="F286" s="734" t="s">
        <v>828</v>
      </c>
      <c r="G286" s="735">
        <v>3.8E-3</v>
      </c>
      <c r="H286" s="736">
        <f>SUM(H287:H287)</f>
        <v>0.53611500000000001</v>
      </c>
      <c r="I286" s="732">
        <v>5.94</v>
      </c>
      <c r="J286" s="732">
        <f t="shared" si="60"/>
        <v>6.4761150000000001</v>
      </c>
      <c r="K286" s="621">
        <f t="shared" si="46"/>
        <v>7.86</v>
      </c>
      <c r="L286" s="702" t="s">
        <v>18</v>
      </c>
      <c r="M286" s="780"/>
      <c r="N286" s="781"/>
      <c r="O286" s="434">
        <f t="shared" si="64"/>
        <v>0</v>
      </c>
      <c r="P286" s="435">
        <f t="shared" si="65"/>
        <v>0</v>
      </c>
      <c r="Q286" s="288"/>
      <c r="R286" s="243"/>
      <c r="S286" s="385" t="str">
        <f t="shared" si="67"/>
        <v/>
      </c>
    </row>
    <row r="287" spans="2:19" ht="13.5" hidden="1" thickBot="1">
      <c r="B287" s="609" t="s">
        <v>168</v>
      </c>
      <c r="C287" s="610"/>
      <c r="D287" s="649" t="s">
        <v>260</v>
      </c>
      <c r="E287" s="602"/>
      <c r="F287" s="747">
        <v>20</v>
      </c>
      <c r="G287" s="741">
        <v>3.4700000000000002E-2</v>
      </c>
      <c r="H287" s="739">
        <f t="shared" ref="H287" si="69">IF(F287&lt;=30,(0.7*F287+1.45)*G287,((0.7*30+1.45)+0.58*(F287-30))*G287)</f>
        <v>0.53611500000000001</v>
      </c>
      <c r="I287" s="387"/>
      <c r="J287" s="387"/>
      <c r="K287" s="606">
        <f t="shared" si="46"/>
        <v>0</v>
      </c>
      <c r="L287" s="607" t="s">
        <v>777</v>
      </c>
      <c r="M287" s="782"/>
      <c r="N287" s="430"/>
      <c r="O287" s="287">
        <f t="shared" si="64"/>
        <v>0</v>
      </c>
      <c r="P287" s="391">
        <f t="shared" si="65"/>
        <v>0</v>
      </c>
      <c r="Q287" s="288"/>
      <c r="R287" s="315" t="str">
        <f>IF(P286&gt;0,"xy","")</f>
        <v/>
      </c>
      <c r="S287" s="385" t="str">
        <f t="shared" si="67"/>
        <v/>
      </c>
    </row>
    <row r="288" spans="2:19" ht="13.5" hidden="1" thickBot="1">
      <c r="B288" s="633" t="s">
        <v>1852</v>
      </c>
      <c r="C288" s="715" t="s">
        <v>241</v>
      </c>
      <c r="D288" s="646" t="s">
        <v>820</v>
      </c>
      <c r="E288" s="704"/>
      <c r="F288" s="742">
        <v>500</v>
      </c>
      <c r="G288" s="743">
        <v>1</v>
      </c>
      <c r="H288" s="744">
        <f>(0.52*F288+25.75)*G288</f>
        <v>285.75</v>
      </c>
      <c r="I288" s="733">
        <v>3897.06</v>
      </c>
      <c r="J288" s="733">
        <f>IF(ISBLANK(I288),"",I288*(1+$F$9)/(1+$F$10))+H288</f>
        <v>3987.8767144622993</v>
      </c>
      <c r="K288" s="658">
        <f t="shared" ref="K288:K363" si="70">IF(ISBLANK(I288),0,ROUND(J288*(1+$F$10)*(1+$F$11*E288),2))</f>
        <v>4839.29</v>
      </c>
      <c r="L288" s="705" t="s">
        <v>20</v>
      </c>
      <c r="M288" s="777">
        <f>ROUND(M286*G286,2)</f>
        <v>0</v>
      </c>
      <c r="N288" s="785"/>
      <c r="O288" s="436">
        <f t="shared" si="64"/>
        <v>0</v>
      </c>
      <c r="P288" s="437">
        <f t="shared" si="65"/>
        <v>0</v>
      </c>
      <c r="Q288" s="288"/>
      <c r="R288" s="315" t="str">
        <f>IF(P138&gt;0,"xy","")</f>
        <v/>
      </c>
      <c r="S288" s="385" t="str">
        <f t="shared" si="67"/>
        <v/>
      </c>
    </row>
    <row r="289" spans="2:19" ht="13.5" hidden="1" thickBot="1">
      <c r="B289" s="632" t="s">
        <v>1950</v>
      </c>
      <c r="C289" s="714" t="s">
        <v>212</v>
      </c>
      <c r="D289" s="647" t="s">
        <v>266</v>
      </c>
      <c r="E289" s="701"/>
      <c r="F289" s="734" t="s">
        <v>828</v>
      </c>
      <c r="G289" s="735">
        <v>4.0000000000000001E-3</v>
      </c>
      <c r="H289" s="736">
        <f>SUM(H290:H290)</f>
        <v>0.74159999999999993</v>
      </c>
      <c r="I289" s="732">
        <v>5.94</v>
      </c>
      <c r="J289" s="732">
        <f t="shared" si="60"/>
        <v>6.6816000000000004</v>
      </c>
      <c r="K289" s="621">
        <f t="shared" si="70"/>
        <v>8.11</v>
      </c>
      <c r="L289" s="702" t="s">
        <v>18</v>
      </c>
      <c r="M289" s="780"/>
      <c r="N289" s="781"/>
      <c r="O289" s="434">
        <f t="shared" si="64"/>
        <v>0</v>
      </c>
      <c r="P289" s="435">
        <f t="shared" si="65"/>
        <v>0</v>
      </c>
      <c r="Q289" s="288"/>
      <c r="R289" s="243"/>
      <c r="S289" s="385" t="str">
        <f t="shared" si="67"/>
        <v/>
      </c>
    </row>
    <row r="290" spans="2:19" ht="13.5" hidden="1" thickBot="1">
      <c r="B290" s="609" t="s">
        <v>168</v>
      </c>
      <c r="C290" s="610"/>
      <c r="D290" s="649" t="s">
        <v>260</v>
      </c>
      <c r="E290" s="602"/>
      <c r="F290" s="747">
        <v>20</v>
      </c>
      <c r="G290" s="741">
        <v>4.8000000000000001E-2</v>
      </c>
      <c r="H290" s="739">
        <f t="shared" ref="H290" si="71">IF(F290&lt;=30,(0.7*F290+1.45)*G290,((0.7*30+1.45)+0.58*(F290-30))*G290)</f>
        <v>0.74159999999999993</v>
      </c>
      <c r="I290" s="387"/>
      <c r="J290" s="387"/>
      <c r="K290" s="606">
        <f t="shared" si="70"/>
        <v>0</v>
      </c>
      <c r="L290" s="607" t="s">
        <v>777</v>
      </c>
      <c r="M290" s="782"/>
      <c r="N290" s="430"/>
      <c r="O290" s="287">
        <f t="shared" si="64"/>
        <v>0</v>
      </c>
      <c r="P290" s="391">
        <f t="shared" si="65"/>
        <v>0</v>
      </c>
      <c r="Q290" s="288"/>
      <c r="R290" s="315" t="str">
        <f>IF(P289&gt;0,"xy","")</f>
        <v/>
      </c>
      <c r="S290" s="385" t="str">
        <f t="shared" si="67"/>
        <v/>
      </c>
    </row>
    <row r="291" spans="2:19" ht="13.5" hidden="1" thickBot="1">
      <c r="B291" s="633" t="s">
        <v>1853</v>
      </c>
      <c r="C291" s="715" t="s">
        <v>241</v>
      </c>
      <c r="D291" s="646" t="s">
        <v>970</v>
      </c>
      <c r="E291" s="704"/>
      <c r="F291" s="742">
        <v>500</v>
      </c>
      <c r="G291" s="743">
        <v>1</v>
      </c>
      <c r="H291" s="744">
        <f>(0.52*F291+25.75)*G291</f>
        <v>285.75</v>
      </c>
      <c r="I291" s="733">
        <v>3897.06</v>
      </c>
      <c r="J291" s="733">
        <f>IF(ISBLANK(I291),"",I291*(1+$F$9)/(1+$F$10))+H291</f>
        <v>3987.8767144622993</v>
      </c>
      <c r="K291" s="658">
        <f t="shared" si="70"/>
        <v>4839.29</v>
      </c>
      <c r="L291" s="705" t="s">
        <v>20</v>
      </c>
      <c r="M291" s="777">
        <f>ROUND(M289*G289,2)</f>
        <v>0</v>
      </c>
      <c r="N291" s="785"/>
      <c r="O291" s="436">
        <f t="shared" si="64"/>
        <v>0</v>
      </c>
      <c r="P291" s="437">
        <f t="shared" si="65"/>
        <v>0</v>
      </c>
      <c r="Q291" s="288"/>
      <c r="R291" s="315" t="str">
        <f>IF(P138&gt;0,"xy","")</f>
        <v/>
      </c>
      <c r="S291" s="385" t="str">
        <f t="shared" si="67"/>
        <v/>
      </c>
    </row>
    <row r="292" spans="2:19" ht="13.5" hidden="1" thickBot="1">
      <c r="B292" s="632">
        <v>564000</v>
      </c>
      <c r="C292" s="714" t="s">
        <v>212</v>
      </c>
      <c r="D292" s="647" t="s">
        <v>267</v>
      </c>
      <c r="E292" s="701"/>
      <c r="F292" s="734" t="s">
        <v>828</v>
      </c>
      <c r="G292" s="735">
        <v>0.125</v>
      </c>
      <c r="H292" s="736">
        <f>SUM(H293:H293)</f>
        <v>33.99</v>
      </c>
      <c r="I292" s="732">
        <v>94.55</v>
      </c>
      <c r="J292" s="732">
        <f t="shared" si="60"/>
        <v>128.54</v>
      </c>
      <c r="K292" s="621">
        <f t="shared" si="70"/>
        <v>155.97999999999999</v>
      </c>
      <c r="L292" s="702" t="s">
        <v>16</v>
      </c>
      <c r="M292" s="780"/>
      <c r="N292" s="781"/>
      <c r="O292" s="434">
        <f t="shared" si="64"/>
        <v>0</v>
      </c>
      <c r="P292" s="435">
        <f t="shared" si="65"/>
        <v>0</v>
      </c>
      <c r="Q292" s="288"/>
      <c r="R292" s="243"/>
      <c r="S292" s="385" t="str">
        <f t="shared" si="67"/>
        <v/>
      </c>
    </row>
    <row r="293" spans="2:19" ht="13.5" hidden="1" thickBot="1">
      <c r="B293" s="609" t="s">
        <v>168</v>
      </c>
      <c r="C293" s="610"/>
      <c r="D293" s="649" t="s">
        <v>260</v>
      </c>
      <c r="E293" s="602"/>
      <c r="F293" s="747">
        <v>20</v>
      </c>
      <c r="G293" s="741">
        <v>2.2000000000000002</v>
      </c>
      <c r="H293" s="739">
        <f t="shared" ref="H293" si="72">IF(F293&lt;=30,(0.7*F293+1.45)*G293,((0.7*30+1.45)+0.58*(F293-30))*G293)</f>
        <v>33.99</v>
      </c>
      <c r="I293" s="387"/>
      <c r="J293" s="387"/>
      <c r="K293" s="606">
        <f t="shared" si="70"/>
        <v>0</v>
      </c>
      <c r="L293" s="607" t="s">
        <v>777</v>
      </c>
      <c r="M293" s="782"/>
      <c r="N293" s="430"/>
      <c r="O293" s="287">
        <f t="shared" si="64"/>
        <v>0</v>
      </c>
      <c r="P293" s="391">
        <f t="shared" si="65"/>
        <v>0</v>
      </c>
      <c r="Q293" s="288"/>
      <c r="R293" s="315" t="str">
        <f>IF(P292&gt;0,"xy","")</f>
        <v/>
      </c>
      <c r="S293" s="385" t="str">
        <f t="shared" si="67"/>
        <v/>
      </c>
    </row>
    <row r="294" spans="2:19" ht="13.5" hidden="1" thickBot="1">
      <c r="B294" s="633" t="s">
        <v>1854</v>
      </c>
      <c r="C294" s="715" t="s">
        <v>241</v>
      </c>
      <c r="D294" s="646" t="s">
        <v>971</v>
      </c>
      <c r="E294" s="704"/>
      <c r="F294" s="742">
        <v>500</v>
      </c>
      <c r="G294" s="743">
        <v>1</v>
      </c>
      <c r="H294" s="744">
        <f>(0.52*F294+25.75)*G294</f>
        <v>285.75</v>
      </c>
      <c r="I294" s="733">
        <v>3897.06</v>
      </c>
      <c r="J294" s="733">
        <f>IF(ISBLANK(I294),"",I294*(1+$F$9)/(1+$F$10))+H294</f>
        <v>3987.8767144622993</v>
      </c>
      <c r="K294" s="658">
        <f t="shared" si="70"/>
        <v>4839.29</v>
      </c>
      <c r="L294" s="705" t="s">
        <v>20</v>
      </c>
      <c r="M294" s="777">
        <f>ROUND(M292*G292,2)</f>
        <v>0</v>
      </c>
      <c r="N294" s="785"/>
      <c r="O294" s="436">
        <f t="shared" si="64"/>
        <v>0</v>
      </c>
      <c r="P294" s="437">
        <f t="shared" si="65"/>
        <v>0</v>
      </c>
      <c r="Q294" s="288"/>
      <c r="R294" s="315" t="str">
        <f>IF(P138&gt;0,"xy","")</f>
        <v/>
      </c>
      <c r="S294" s="385" t="str">
        <f t="shared" si="67"/>
        <v/>
      </c>
    </row>
    <row r="295" spans="2:19" ht="13.5" hidden="1" thickBot="1">
      <c r="B295" s="632">
        <v>564300</v>
      </c>
      <c r="C295" s="714" t="s">
        <v>212</v>
      </c>
      <c r="D295" s="650" t="s">
        <v>268</v>
      </c>
      <c r="E295" s="701"/>
      <c r="F295" s="734" t="s">
        <v>829</v>
      </c>
      <c r="G295" s="735">
        <v>0.1</v>
      </c>
      <c r="H295" s="736">
        <f>SUM(H296:H296)</f>
        <v>33.99</v>
      </c>
      <c r="I295" s="732">
        <v>100.41</v>
      </c>
      <c r="J295" s="732">
        <f t="shared" si="60"/>
        <v>134.4</v>
      </c>
      <c r="K295" s="621">
        <f t="shared" si="70"/>
        <v>163.09</v>
      </c>
      <c r="L295" s="702" t="s">
        <v>16</v>
      </c>
      <c r="M295" s="780"/>
      <c r="N295" s="781"/>
      <c r="O295" s="434">
        <f t="shared" si="64"/>
        <v>0</v>
      </c>
      <c r="P295" s="435">
        <f t="shared" si="65"/>
        <v>0</v>
      </c>
      <c r="Q295" s="288"/>
      <c r="R295" s="243"/>
      <c r="S295" s="385" t="str">
        <f t="shared" si="67"/>
        <v/>
      </c>
    </row>
    <row r="296" spans="2:19" ht="13.5" hidden="1" thickBot="1">
      <c r="B296" s="609" t="s">
        <v>168</v>
      </c>
      <c r="C296" s="610"/>
      <c r="D296" s="651" t="s">
        <v>260</v>
      </c>
      <c r="E296" s="602"/>
      <c r="F296" s="747">
        <v>20</v>
      </c>
      <c r="G296" s="741">
        <v>2.2000000000000002</v>
      </c>
      <c r="H296" s="739">
        <f t="shared" ref="H296" si="73">IF(F296&lt;=30,(0.7*F296+1.45)*G296,((0.7*30+1.45)+0.58*(F296-30))*G296)</f>
        <v>33.99</v>
      </c>
      <c r="I296" s="387"/>
      <c r="J296" s="387"/>
      <c r="K296" s="606">
        <f t="shared" si="70"/>
        <v>0</v>
      </c>
      <c r="L296" s="607" t="s">
        <v>777</v>
      </c>
      <c r="M296" s="782"/>
      <c r="N296" s="430"/>
      <c r="O296" s="287">
        <f t="shared" si="64"/>
        <v>0</v>
      </c>
      <c r="P296" s="391">
        <f t="shared" si="65"/>
        <v>0</v>
      </c>
      <c r="Q296" s="288"/>
      <c r="R296" s="315" t="str">
        <f>IF(P295&gt;0,"xy","")</f>
        <v/>
      </c>
      <c r="S296" s="385" t="str">
        <f t="shared" si="67"/>
        <v/>
      </c>
    </row>
    <row r="297" spans="2:19" ht="13.5" hidden="1" thickBot="1">
      <c r="B297" s="633" t="s">
        <v>1951</v>
      </c>
      <c r="C297" s="715" t="s">
        <v>241</v>
      </c>
      <c r="D297" s="646" t="s">
        <v>821</v>
      </c>
      <c r="E297" s="704"/>
      <c r="F297" s="742">
        <v>500</v>
      </c>
      <c r="G297" s="743">
        <v>1</v>
      </c>
      <c r="H297" s="744">
        <f>(0.58*F297+28.61)*G297</f>
        <v>318.61</v>
      </c>
      <c r="I297" s="733">
        <v>5118.8900000000003</v>
      </c>
      <c r="J297" s="733">
        <f>IF(ISBLANK(I297),"",I297*(1+$F$9)/(1+$F$10))+H297</f>
        <v>5181.4500428512565</v>
      </c>
      <c r="K297" s="658">
        <f t="shared" si="70"/>
        <v>6287.69</v>
      </c>
      <c r="L297" s="705" t="s">
        <v>20</v>
      </c>
      <c r="M297" s="777">
        <f>ROUND(M295*G295,2)</f>
        <v>0</v>
      </c>
      <c r="N297" s="785"/>
      <c r="O297" s="436">
        <f t="shared" si="64"/>
        <v>0</v>
      </c>
      <c r="P297" s="437">
        <f t="shared" si="65"/>
        <v>0</v>
      </c>
      <c r="Q297" s="288"/>
      <c r="R297" s="315" t="str">
        <f>IF(P138&gt;0,"xy","")</f>
        <v/>
      </c>
      <c r="S297" s="385" t="str">
        <f t="shared" si="67"/>
        <v/>
      </c>
    </row>
    <row r="298" spans="2:19" ht="13.5" hidden="1" thickBot="1">
      <c r="B298" s="632" t="s">
        <v>2012</v>
      </c>
      <c r="C298" s="714" t="s">
        <v>212</v>
      </c>
      <c r="D298" s="647" t="s">
        <v>269</v>
      </c>
      <c r="E298" s="701"/>
      <c r="F298" s="734" t="s">
        <v>828</v>
      </c>
      <c r="G298" s="735">
        <v>5.0000000000000001E-4</v>
      </c>
      <c r="H298" s="736">
        <f>SUM(H299:H299)</f>
        <v>0.10815</v>
      </c>
      <c r="I298" s="732">
        <v>0.88</v>
      </c>
      <c r="J298" s="732">
        <f t="shared" si="60"/>
        <v>0.98814999999999997</v>
      </c>
      <c r="K298" s="621">
        <f t="shared" si="70"/>
        <v>1.2</v>
      </c>
      <c r="L298" s="702" t="s">
        <v>18</v>
      </c>
      <c r="M298" s="780"/>
      <c r="N298" s="781"/>
      <c r="O298" s="434">
        <f t="shared" si="64"/>
        <v>0</v>
      </c>
      <c r="P298" s="435">
        <f t="shared" si="65"/>
        <v>0</v>
      </c>
      <c r="Q298" s="288"/>
      <c r="R298" s="243"/>
      <c r="S298" s="385" t="str">
        <f t="shared" si="67"/>
        <v/>
      </c>
    </row>
    <row r="299" spans="2:19" ht="13.5" hidden="1" thickBot="1">
      <c r="B299" s="609" t="s">
        <v>168</v>
      </c>
      <c r="C299" s="610"/>
      <c r="D299" s="649" t="s">
        <v>260</v>
      </c>
      <c r="E299" s="602"/>
      <c r="F299" s="747">
        <v>20</v>
      </c>
      <c r="G299" s="741">
        <v>7.0000000000000001E-3</v>
      </c>
      <c r="H299" s="739">
        <f t="shared" ref="H299" si="74">IF(F299&lt;=30,(0.7*F299+1.45)*G299,((0.7*30+1.45)+0.58*(F299-30))*G299)</f>
        <v>0.10815</v>
      </c>
      <c r="I299" s="387"/>
      <c r="J299" s="387"/>
      <c r="K299" s="606">
        <f t="shared" si="70"/>
        <v>0</v>
      </c>
      <c r="L299" s="607" t="s">
        <v>777</v>
      </c>
      <c r="M299" s="782"/>
      <c r="N299" s="430"/>
      <c r="O299" s="287">
        <f t="shared" si="64"/>
        <v>0</v>
      </c>
      <c r="P299" s="391">
        <f t="shared" si="65"/>
        <v>0</v>
      </c>
      <c r="Q299" s="288"/>
      <c r="R299" s="315" t="str">
        <f>IF(P298&gt;0,"xy","")</f>
        <v/>
      </c>
      <c r="S299" s="385" t="str">
        <f t="shared" si="67"/>
        <v/>
      </c>
    </row>
    <row r="300" spans="2:19" ht="13.5" hidden="1" thickBot="1">
      <c r="B300" s="633" t="s">
        <v>1855</v>
      </c>
      <c r="C300" s="715" t="s">
        <v>241</v>
      </c>
      <c r="D300" s="646" t="s">
        <v>822</v>
      </c>
      <c r="E300" s="704"/>
      <c r="F300" s="742">
        <v>500</v>
      </c>
      <c r="G300" s="743">
        <v>1</v>
      </c>
      <c r="H300" s="744">
        <f>(0.52*F300+25.75)*G300</f>
        <v>285.75</v>
      </c>
      <c r="I300" s="733">
        <v>3897.06</v>
      </c>
      <c r="J300" s="733">
        <f>IF(ISBLANK(I300),"",I300*(1+$F$9)/(1+$F$10))+H300</f>
        <v>3987.8767144622993</v>
      </c>
      <c r="K300" s="640">
        <f t="shared" si="70"/>
        <v>4839.29</v>
      </c>
      <c r="L300" s="705" t="s">
        <v>20</v>
      </c>
      <c r="M300" s="777">
        <f>ROUND(M298*G298,2)</f>
        <v>0</v>
      </c>
      <c r="N300" s="785"/>
      <c r="O300" s="436">
        <f t="shared" si="64"/>
        <v>0</v>
      </c>
      <c r="P300" s="437">
        <f t="shared" si="65"/>
        <v>0</v>
      </c>
      <c r="Q300" s="288"/>
      <c r="R300" s="315" t="str">
        <f>IF(P138&gt;0,"xy","")</f>
        <v/>
      </c>
      <c r="S300" s="385" t="str">
        <f t="shared" si="67"/>
        <v/>
      </c>
    </row>
    <row r="301" spans="2:19" ht="13.5" hidden="1" thickBot="1">
      <c r="B301" s="632" t="s">
        <v>847</v>
      </c>
      <c r="C301" s="714" t="s">
        <v>212</v>
      </c>
      <c r="D301" s="645" t="s">
        <v>838</v>
      </c>
      <c r="E301" s="701"/>
      <c r="F301" s="734" t="s">
        <v>830</v>
      </c>
      <c r="G301" s="735">
        <v>0.08</v>
      </c>
      <c r="H301" s="736">
        <f>SUM(H302:H305)</f>
        <v>40.572800000000008</v>
      </c>
      <c r="I301" s="732">
        <v>110.27</v>
      </c>
      <c r="J301" s="732">
        <f t="shared" ref="J301" si="75">IF(ISBLANK(I301),"",SUM(H301:I301))</f>
        <v>150.84280000000001</v>
      </c>
      <c r="K301" s="621">
        <f t="shared" si="70"/>
        <v>183.05</v>
      </c>
      <c r="L301" s="702" t="s">
        <v>16</v>
      </c>
      <c r="M301" s="780"/>
      <c r="N301" s="781"/>
      <c r="O301" s="434">
        <f t="shared" si="64"/>
        <v>0</v>
      </c>
      <c r="P301" s="435">
        <f t="shared" si="65"/>
        <v>0</v>
      </c>
      <c r="Q301" s="288"/>
      <c r="R301" s="243"/>
      <c r="S301" s="385" t="str">
        <f t="shared" si="67"/>
        <v/>
      </c>
    </row>
    <row r="302" spans="2:19" ht="13.5" hidden="1" thickBot="1">
      <c r="B302" s="609" t="s">
        <v>168</v>
      </c>
      <c r="C302" s="610"/>
      <c r="D302" s="648" t="s">
        <v>256</v>
      </c>
      <c r="E302" s="602"/>
      <c r="F302" s="737">
        <v>180</v>
      </c>
      <c r="G302" s="741"/>
      <c r="H302" s="739">
        <f t="shared" ref="H302" si="76">IF(F302&lt;=30,(0.7*F302+1.45)*G302,((0.7*30+1.45)+0.58*(F302-30))*G302)</f>
        <v>0</v>
      </c>
      <c r="I302" s="387"/>
      <c r="J302" s="387" t="str">
        <f t="shared" ref="J302" si="77">IF(ISBLANK(I302),"",SUM(H302:I302))</f>
        <v/>
      </c>
      <c r="K302" s="606">
        <f t="shared" si="70"/>
        <v>0</v>
      </c>
      <c r="L302" s="607" t="s">
        <v>777</v>
      </c>
      <c r="M302" s="782"/>
      <c r="N302" s="430"/>
      <c r="O302" s="287">
        <f t="shared" si="64"/>
        <v>0</v>
      </c>
      <c r="P302" s="391">
        <f t="shared" si="65"/>
        <v>0</v>
      </c>
      <c r="Q302" s="288"/>
      <c r="R302" s="315" t="str">
        <f>IF(P301&gt;0,"xy","")</f>
        <v/>
      </c>
      <c r="S302" s="385" t="str">
        <f t="shared" si="67"/>
        <v/>
      </c>
    </row>
    <row r="303" spans="2:19" ht="13.5" hidden="1" thickBot="1">
      <c r="B303" s="609" t="s">
        <v>168</v>
      </c>
      <c r="C303" s="610"/>
      <c r="D303" s="648" t="s">
        <v>257</v>
      </c>
      <c r="E303" s="602"/>
      <c r="F303" s="737">
        <v>500</v>
      </c>
      <c r="G303" s="741"/>
      <c r="H303" s="740">
        <f>IF(F303&lt;=30,(0.51*F303+4.28)*G303,((0.51*30+4.28)+0.42*(F303-30))*G303)</f>
        <v>0</v>
      </c>
      <c r="I303" s="387"/>
      <c r="J303" s="387" t="str">
        <f t="shared" ref="J303" si="78">IF(ISBLANK(I303),"",SUM(H303:I303))</f>
        <v/>
      </c>
      <c r="K303" s="606">
        <f t="shared" si="70"/>
        <v>0</v>
      </c>
      <c r="L303" s="607" t="s">
        <v>777</v>
      </c>
      <c r="M303" s="782"/>
      <c r="N303" s="430"/>
      <c r="O303" s="287">
        <f t="shared" si="64"/>
        <v>0</v>
      </c>
      <c r="P303" s="391">
        <f t="shared" si="65"/>
        <v>0</v>
      </c>
      <c r="Q303" s="288"/>
      <c r="R303" s="315" t="str">
        <f>IF(P301&gt;0,"xy","")</f>
        <v/>
      </c>
      <c r="S303" s="385" t="str">
        <f t="shared" si="67"/>
        <v/>
      </c>
    </row>
    <row r="304" spans="2:19" ht="13.5" hidden="1" thickBot="1">
      <c r="B304" s="609" t="s">
        <v>168</v>
      </c>
      <c r="C304" s="610"/>
      <c r="D304" s="648" t="s">
        <v>270</v>
      </c>
      <c r="E304" s="602"/>
      <c r="F304" s="737">
        <v>0.2</v>
      </c>
      <c r="G304" s="741">
        <v>2.12</v>
      </c>
      <c r="H304" s="740">
        <f>IF(F304=0,0,IF(F304&lt;=30,(0.7*F304+1.45)*G304,((0.7*30+1.45)+0.58*(F304-30))*G304))</f>
        <v>3.3708</v>
      </c>
      <c r="I304" s="387"/>
      <c r="J304" s="387"/>
      <c r="K304" s="606">
        <f t="shared" si="70"/>
        <v>0</v>
      </c>
      <c r="L304" s="607" t="s">
        <v>777</v>
      </c>
      <c r="M304" s="782"/>
      <c r="N304" s="430"/>
      <c r="O304" s="287">
        <f t="shared" si="64"/>
        <v>0</v>
      </c>
      <c r="P304" s="391">
        <f t="shared" si="65"/>
        <v>0</v>
      </c>
      <c r="Q304" s="288"/>
      <c r="R304" s="315" t="str">
        <f>IF(P301&gt;0,"xy","")</f>
        <v/>
      </c>
      <c r="S304" s="385" t="str">
        <f t="shared" si="67"/>
        <v/>
      </c>
    </row>
    <row r="305" spans="2:19" ht="13.5" hidden="1" thickBot="1">
      <c r="B305" s="609" t="s">
        <v>168</v>
      </c>
      <c r="C305" s="610"/>
      <c r="D305" s="648" t="s">
        <v>271</v>
      </c>
      <c r="E305" s="602"/>
      <c r="F305" s="737">
        <v>20</v>
      </c>
      <c r="G305" s="741">
        <f>SUM(G301:G304)</f>
        <v>2.2000000000000002</v>
      </c>
      <c r="H305" s="740">
        <f>IF(F305&lt;=30,(0.7*F305+2.91)*G305,((0.7*30+2.91)+0.58*(F305-30))*G305)</f>
        <v>37.202000000000005</v>
      </c>
      <c r="I305" s="387"/>
      <c r="J305" s="387"/>
      <c r="K305" s="606">
        <f t="shared" si="70"/>
        <v>0</v>
      </c>
      <c r="L305" s="607" t="s">
        <v>777</v>
      </c>
      <c r="M305" s="782"/>
      <c r="N305" s="786"/>
      <c r="O305" s="287">
        <f t="shared" si="64"/>
        <v>0</v>
      </c>
      <c r="P305" s="391">
        <f t="shared" si="65"/>
        <v>0</v>
      </c>
      <c r="Q305" s="288"/>
      <c r="R305" s="243" t="str">
        <f>IF(P301&gt;0,"xy","")</f>
        <v/>
      </c>
      <c r="S305" s="385" t="str">
        <f t="shared" si="67"/>
        <v/>
      </c>
    </row>
    <row r="306" spans="2:19" ht="13.5" hidden="1" thickBot="1">
      <c r="B306" s="633" t="s">
        <v>1044</v>
      </c>
      <c r="C306" s="715" t="s">
        <v>241</v>
      </c>
      <c r="D306" s="646" t="s">
        <v>1026</v>
      </c>
      <c r="E306" s="704"/>
      <c r="F306" s="742">
        <v>500</v>
      </c>
      <c r="G306" s="743">
        <v>1</v>
      </c>
      <c r="H306" s="744">
        <f>(0.52*F306+25.75)*G306</f>
        <v>285.75</v>
      </c>
      <c r="I306" s="733">
        <v>4206.5200000000004</v>
      </c>
      <c r="J306" s="733">
        <f>IF(ISBLANK(I306),"",I306*(1+$F$9)/(1+$F$10))+H306</f>
        <v>4281.8573391017726</v>
      </c>
      <c r="K306" s="658">
        <f t="shared" si="70"/>
        <v>5196.03</v>
      </c>
      <c r="L306" s="705" t="s">
        <v>20</v>
      </c>
      <c r="M306" s="777">
        <f>ROUND(M301*G301,2)</f>
        <v>0</v>
      </c>
      <c r="N306" s="783"/>
      <c r="O306" s="436">
        <f t="shared" si="64"/>
        <v>0</v>
      </c>
      <c r="P306" s="437">
        <f t="shared" si="65"/>
        <v>0</v>
      </c>
      <c r="Q306" s="288"/>
      <c r="R306" s="315" t="str">
        <f>IF(P138&gt;0,"xy","")</f>
        <v/>
      </c>
      <c r="S306" s="385" t="str">
        <f t="shared" si="67"/>
        <v/>
      </c>
    </row>
    <row r="307" spans="2:19" ht="13.5" hidden="1" thickBot="1">
      <c r="B307" s="632" t="s">
        <v>848</v>
      </c>
      <c r="C307" s="714" t="s">
        <v>212</v>
      </c>
      <c r="D307" s="645" t="s">
        <v>837</v>
      </c>
      <c r="E307" s="701"/>
      <c r="F307" s="734" t="s">
        <v>830</v>
      </c>
      <c r="G307" s="735">
        <v>0.08</v>
      </c>
      <c r="H307" s="736">
        <f>SUM(H308:H311)</f>
        <v>40.572800000000008</v>
      </c>
      <c r="I307" s="732">
        <v>110.27</v>
      </c>
      <c r="J307" s="732">
        <f t="shared" ref="J307" si="79">IF(ISBLANK(I307),"",SUM(H307:I307))</f>
        <v>150.84280000000001</v>
      </c>
      <c r="K307" s="621">
        <f t="shared" si="70"/>
        <v>183.05</v>
      </c>
      <c r="L307" s="702" t="s">
        <v>16</v>
      </c>
      <c r="M307" s="780"/>
      <c r="N307" s="781"/>
      <c r="O307" s="434">
        <f t="shared" si="64"/>
        <v>0</v>
      </c>
      <c r="P307" s="435">
        <f t="shared" si="65"/>
        <v>0</v>
      </c>
      <c r="Q307" s="288"/>
      <c r="R307" s="243"/>
      <c r="S307" s="385" t="str">
        <f t="shared" si="67"/>
        <v/>
      </c>
    </row>
    <row r="308" spans="2:19" ht="13.5" hidden="1" thickBot="1">
      <c r="B308" s="609" t="s">
        <v>168</v>
      </c>
      <c r="C308" s="610"/>
      <c r="D308" s="648" t="s">
        <v>256</v>
      </c>
      <c r="E308" s="602"/>
      <c r="F308" s="737">
        <v>180</v>
      </c>
      <c r="G308" s="741"/>
      <c r="H308" s="739">
        <f t="shared" ref="H308" si="80">IF(F308&lt;=30,(0.7*F308+1.45)*G308,((0.7*30+1.45)+0.58*(F308-30))*G308)</f>
        <v>0</v>
      </c>
      <c r="I308" s="387"/>
      <c r="J308" s="387" t="str">
        <f t="shared" ref="J308" si="81">IF(ISBLANK(I308),"",SUM(H308:I308))</f>
        <v/>
      </c>
      <c r="K308" s="606">
        <f t="shared" si="70"/>
        <v>0</v>
      </c>
      <c r="L308" s="607" t="s">
        <v>777</v>
      </c>
      <c r="M308" s="782"/>
      <c r="N308" s="430"/>
      <c r="O308" s="287">
        <f t="shared" si="64"/>
        <v>0</v>
      </c>
      <c r="P308" s="391">
        <f t="shared" si="65"/>
        <v>0</v>
      </c>
      <c r="Q308" s="288"/>
      <c r="R308" s="315" t="str">
        <f>IF(P307&gt;0,"xy","")</f>
        <v/>
      </c>
      <c r="S308" s="385" t="str">
        <f t="shared" si="67"/>
        <v/>
      </c>
    </row>
    <row r="309" spans="2:19" ht="13.5" hidden="1" thickBot="1">
      <c r="B309" s="609" t="s">
        <v>168</v>
      </c>
      <c r="C309" s="610"/>
      <c r="D309" s="648" t="s">
        <v>257</v>
      </c>
      <c r="E309" s="602"/>
      <c r="F309" s="737">
        <v>500</v>
      </c>
      <c r="G309" s="741"/>
      <c r="H309" s="740">
        <f>IF(F309&lt;=30,(0.51*F309+4.28)*G309,((0.51*30+4.28)+0.42*(F309-30))*G309)</f>
        <v>0</v>
      </c>
      <c r="I309" s="387"/>
      <c r="J309" s="387" t="str">
        <f t="shared" ref="J309" si="82">IF(ISBLANK(I309),"",SUM(H309:I309))</f>
        <v/>
      </c>
      <c r="K309" s="606">
        <f t="shared" si="70"/>
        <v>0</v>
      </c>
      <c r="L309" s="607" t="s">
        <v>777</v>
      </c>
      <c r="M309" s="782"/>
      <c r="N309" s="430"/>
      <c r="O309" s="287">
        <f t="shared" si="64"/>
        <v>0</v>
      </c>
      <c r="P309" s="391">
        <f t="shared" si="65"/>
        <v>0</v>
      </c>
      <c r="Q309" s="288"/>
      <c r="R309" s="315" t="str">
        <f>IF(P307&gt;0,"xy","")</f>
        <v/>
      </c>
      <c r="S309" s="385" t="str">
        <f t="shared" si="67"/>
        <v/>
      </c>
    </row>
    <row r="310" spans="2:19" ht="13.5" hidden="1" thickBot="1">
      <c r="B310" s="609" t="s">
        <v>168</v>
      </c>
      <c r="C310" s="610"/>
      <c r="D310" s="648" t="s">
        <v>270</v>
      </c>
      <c r="E310" s="602"/>
      <c r="F310" s="737">
        <v>0.2</v>
      </c>
      <c r="G310" s="741">
        <v>2.12</v>
      </c>
      <c r="H310" s="740">
        <f>IF(F310=0,0,IF(F310&lt;=30,(0.7*F310+1.45)*G310,((0.7*30+1.45)+0.58*(F310-30))*G310))</f>
        <v>3.3708</v>
      </c>
      <c r="I310" s="387"/>
      <c r="J310" s="387"/>
      <c r="K310" s="606">
        <f t="shared" si="70"/>
        <v>0</v>
      </c>
      <c r="L310" s="607" t="s">
        <v>777</v>
      </c>
      <c r="M310" s="782"/>
      <c r="N310" s="430"/>
      <c r="O310" s="287">
        <f t="shared" si="64"/>
        <v>0</v>
      </c>
      <c r="P310" s="391">
        <f t="shared" si="65"/>
        <v>0</v>
      </c>
      <c r="Q310" s="288"/>
      <c r="R310" s="315" t="str">
        <f>IF(P307&gt;0,"xy","")</f>
        <v/>
      </c>
      <c r="S310" s="385" t="str">
        <f t="shared" si="67"/>
        <v/>
      </c>
    </row>
    <row r="311" spans="2:19" ht="13.5" hidden="1" thickBot="1">
      <c r="B311" s="609" t="s">
        <v>168</v>
      </c>
      <c r="C311" s="610"/>
      <c r="D311" s="648" t="s">
        <v>271</v>
      </c>
      <c r="E311" s="602"/>
      <c r="F311" s="737">
        <v>20</v>
      </c>
      <c r="G311" s="741">
        <f>SUM(G307:G310)</f>
        <v>2.2000000000000002</v>
      </c>
      <c r="H311" s="740">
        <f>IF(F311&lt;=30,(0.7*F311+2.91)*G311,((0.7*30+2.91)+0.58*(F311-30))*G311)</f>
        <v>37.202000000000005</v>
      </c>
      <c r="I311" s="387"/>
      <c r="J311" s="387"/>
      <c r="K311" s="606">
        <f t="shared" si="70"/>
        <v>0</v>
      </c>
      <c r="L311" s="607" t="s">
        <v>777</v>
      </c>
      <c r="M311" s="782"/>
      <c r="N311" s="786"/>
      <c r="O311" s="287">
        <f t="shared" si="64"/>
        <v>0</v>
      </c>
      <c r="P311" s="391">
        <f t="shared" si="65"/>
        <v>0</v>
      </c>
      <c r="Q311" s="288"/>
      <c r="R311" s="243" t="str">
        <f>IF(P307&gt;0,"xy","")</f>
        <v/>
      </c>
      <c r="S311" s="385" t="str">
        <f t="shared" si="67"/>
        <v/>
      </c>
    </row>
    <row r="312" spans="2:19" ht="13.5" hidden="1" thickBot="1">
      <c r="B312" s="633" t="s">
        <v>1045</v>
      </c>
      <c r="C312" s="715" t="s">
        <v>241</v>
      </c>
      <c r="D312" s="646" t="s">
        <v>1026</v>
      </c>
      <c r="E312" s="704"/>
      <c r="F312" s="742">
        <v>500</v>
      </c>
      <c r="G312" s="743">
        <v>1</v>
      </c>
      <c r="H312" s="744">
        <f>(0.52*F312+25.75)*G312</f>
        <v>285.75</v>
      </c>
      <c r="I312" s="733">
        <v>4206.5200000000004</v>
      </c>
      <c r="J312" s="733">
        <f>IF(ISBLANK(I312),"",I312*(1+$F$9)/(1+$F$10))+H312</f>
        <v>4281.8573391017726</v>
      </c>
      <c r="K312" s="658">
        <f t="shared" si="70"/>
        <v>5196.03</v>
      </c>
      <c r="L312" s="705" t="s">
        <v>20</v>
      </c>
      <c r="M312" s="777">
        <f>ROUND(M307*G307,2)</f>
        <v>0</v>
      </c>
      <c r="N312" s="783"/>
      <c r="O312" s="436">
        <f t="shared" si="64"/>
        <v>0</v>
      </c>
      <c r="P312" s="437">
        <f t="shared" si="65"/>
        <v>0</v>
      </c>
      <c r="Q312" s="288"/>
      <c r="R312" s="315" t="str">
        <f>IF(P144&gt;0,"xy","")</f>
        <v/>
      </c>
      <c r="S312" s="385" t="str">
        <f t="shared" si="67"/>
        <v/>
      </c>
    </row>
    <row r="313" spans="2:19" ht="13.5" hidden="1" thickBot="1">
      <c r="B313" s="632" t="s">
        <v>1863</v>
      </c>
      <c r="C313" s="714" t="s">
        <v>212</v>
      </c>
      <c r="D313" s="645" t="s">
        <v>839</v>
      </c>
      <c r="E313" s="701"/>
      <c r="F313" s="734" t="s">
        <v>830</v>
      </c>
      <c r="G313" s="735">
        <v>0.08</v>
      </c>
      <c r="H313" s="736">
        <f>SUM(H314:H317)</f>
        <v>40.572800000000008</v>
      </c>
      <c r="I313" s="732">
        <v>110.27</v>
      </c>
      <c r="J313" s="732">
        <f t="shared" ref="J313:J349" si="83">IF(ISBLANK(I313),"",SUM(H313:I313))</f>
        <v>150.84280000000001</v>
      </c>
      <c r="K313" s="621">
        <f t="shared" si="70"/>
        <v>183.05</v>
      </c>
      <c r="L313" s="702" t="s">
        <v>16</v>
      </c>
      <c r="M313" s="780"/>
      <c r="N313" s="781"/>
      <c r="O313" s="434">
        <f t="shared" si="64"/>
        <v>0</v>
      </c>
      <c r="P313" s="435">
        <f t="shared" si="65"/>
        <v>0</v>
      </c>
      <c r="Q313" s="288"/>
      <c r="R313" s="243"/>
      <c r="S313" s="385" t="str">
        <f t="shared" si="67"/>
        <v/>
      </c>
    </row>
    <row r="314" spans="2:19" ht="13.5" hidden="1" thickBot="1">
      <c r="B314" s="609" t="s">
        <v>168</v>
      </c>
      <c r="C314" s="610"/>
      <c r="D314" s="648" t="s">
        <v>256</v>
      </c>
      <c r="E314" s="602"/>
      <c r="F314" s="737">
        <v>180</v>
      </c>
      <c r="G314" s="741"/>
      <c r="H314" s="739">
        <f t="shared" ref="H314" si="84">IF(F314&lt;=30,(0.7*F314+1.45)*G314,((0.7*30+1.45)+0.58*(F314-30))*G314)</f>
        <v>0</v>
      </c>
      <c r="I314" s="387"/>
      <c r="J314" s="387" t="str">
        <f t="shared" ref="J314" si="85">IF(ISBLANK(I314),"",SUM(H314:I314))</f>
        <v/>
      </c>
      <c r="K314" s="606">
        <f t="shared" si="70"/>
        <v>0</v>
      </c>
      <c r="L314" s="607" t="s">
        <v>777</v>
      </c>
      <c r="M314" s="782"/>
      <c r="N314" s="430"/>
      <c r="O314" s="287">
        <f t="shared" si="64"/>
        <v>0</v>
      </c>
      <c r="P314" s="391">
        <f t="shared" si="65"/>
        <v>0</v>
      </c>
      <c r="Q314" s="288"/>
      <c r="R314" s="315" t="str">
        <f>IF(P313&gt;0,"xy","")</f>
        <v/>
      </c>
      <c r="S314" s="385" t="str">
        <f t="shared" si="67"/>
        <v/>
      </c>
    </row>
    <row r="315" spans="2:19" ht="13.5" hidden="1" thickBot="1">
      <c r="B315" s="609" t="s">
        <v>168</v>
      </c>
      <c r="C315" s="610"/>
      <c r="D315" s="648" t="s">
        <v>257</v>
      </c>
      <c r="E315" s="602"/>
      <c r="F315" s="737">
        <v>500</v>
      </c>
      <c r="G315" s="741"/>
      <c r="H315" s="740">
        <f>IF(F315&lt;=30,(0.51*F315+4.28)*G315,((0.51*30+4.28)+0.42*(F315-30))*G315)</f>
        <v>0</v>
      </c>
      <c r="I315" s="387"/>
      <c r="J315" s="387" t="str">
        <f t="shared" ref="J315" si="86">IF(ISBLANK(I315),"",SUM(H315:I315))</f>
        <v/>
      </c>
      <c r="K315" s="606">
        <f t="shared" si="70"/>
        <v>0</v>
      </c>
      <c r="L315" s="607" t="s">
        <v>777</v>
      </c>
      <c r="M315" s="782"/>
      <c r="N315" s="430"/>
      <c r="O315" s="287">
        <f t="shared" si="64"/>
        <v>0</v>
      </c>
      <c r="P315" s="391">
        <f t="shared" si="65"/>
        <v>0</v>
      </c>
      <c r="Q315" s="288"/>
      <c r="R315" s="315" t="str">
        <f>IF(P313&gt;0,"xy","")</f>
        <v/>
      </c>
      <c r="S315" s="385" t="str">
        <f t="shared" si="67"/>
        <v/>
      </c>
    </row>
    <row r="316" spans="2:19" ht="13.5" hidden="1" thickBot="1">
      <c r="B316" s="609" t="s">
        <v>168</v>
      </c>
      <c r="C316" s="610"/>
      <c r="D316" s="648" t="s">
        <v>270</v>
      </c>
      <c r="E316" s="602"/>
      <c r="F316" s="737">
        <v>0.2</v>
      </c>
      <c r="G316" s="741">
        <v>2.12</v>
      </c>
      <c r="H316" s="740">
        <f>IF(F316=0,0,IF(F316&lt;=30,(0.7*F316+1.45)*G316,((0.7*30+1.45)+0.58*(F316-30))*G316))</f>
        <v>3.3708</v>
      </c>
      <c r="I316" s="387"/>
      <c r="J316" s="387"/>
      <c r="K316" s="606">
        <f t="shared" si="70"/>
        <v>0</v>
      </c>
      <c r="L316" s="607" t="s">
        <v>777</v>
      </c>
      <c r="M316" s="782"/>
      <c r="N316" s="430"/>
      <c r="O316" s="287">
        <f t="shared" si="64"/>
        <v>0</v>
      </c>
      <c r="P316" s="391">
        <f t="shared" si="65"/>
        <v>0</v>
      </c>
      <c r="Q316" s="288"/>
      <c r="R316" s="315" t="str">
        <f>IF(P313&gt;0,"xy","")</f>
        <v/>
      </c>
      <c r="S316" s="385" t="str">
        <f t="shared" si="67"/>
        <v/>
      </c>
    </row>
    <row r="317" spans="2:19" ht="13.5" hidden="1" thickBot="1">
      <c r="B317" s="609" t="s">
        <v>168</v>
      </c>
      <c r="C317" s="610"/>
      <c r="D317" s="648" t="s">
        <v>271</v>
      </c>
      <c r="E317" s="602"/>
      <c r="F317" s="737">
        <v>20</v>
      </c>
      <c r="G317" s="741">
        <f>SUM(G313:G316)</f>
        <v>2.2000000000000002</v>
      </c>
      <c r="H317" s="740">
        <f>IF(F317&lt;=30,(0.7*F317+2.91)*G317,((0.7*30+2.91)+0.58*(F317-30))*G317)</f>
        <v>37.202000000000005</v>
      </c>
      <c r="I317" s="387"/>
      <c r="J317" s="387"/>
      <c r="K317" s="606">
        <f t="shared" si="70"/>
        <v>0</v>
      </c>
      <c r="L317" s="607" t="s">
        <v>777</v>
      </c>
      <c r="M317" s="782"/>
      <c r="N317" s="786"/>
      <c r="O317" s="287">
        <f t="shared" si="64"/>
        <v>0</v>
      </c>
      <c r="P317" s="391">
        <f t="shared" si="65"/>
        <v>0</v>
      </c>
      <c r="Q317" s="288"/>
      <c r="R317" s="243" t="str">
        <f>IF(P313&gt;0,"xy","")</f>
        <v/>
      </c>
      <c r="S317" s="385" t="str">
        <f t="shared" si="67"/>
        <v/>
      </c>
    </row>
    <row r="318" spans="2:19" ht="13.5" hidden="1" thickBot="1">
      <c r="B318" s="633" t="s">
        <v>1046</v>
      </c>
      <c r="C318" s="715" t="s">
        <v>241</v>
      </c>
      <c r="D318" s="646" t="s">
        <v>1026</v>
      </c>
      <c r="E318" s="704"/>
      <c r="F318" s="742">
        <v>500</v>
      </c>
      <c r="G318" s="743">
        <v>1</v>
      </c>
      <c r="H318" s="744">
        <f>(0.52*F318+25.75)*G318</f>
        <v>285.75</v>
      </c>
      <c r="I318" s="733">
        <v>4206.5200000000004</v>
      </c>
      <c r="J318" s="733">
        <f>IF(ISBLANK(I318),"",I318*(1+$F$9)/(1+$F$10))+H318</f>
        <v>4281.8573391017726</v>
      </c>
      <c r="K318" s="658">
        <f t="shared" si="70"/>
        <v>5196.03</v>
      </c>
      <c r="L318" s="705" t="s">
        <v>20</v>
      </c>
      <c r="M318" s="777">
        <f>ROUND(M313*G313,2)</f>
        <v>0</v>
      </c>
      <c r="N318" s="783"/>
      <c r="O318" s="436">
        <f t="shared" si="64"/>
        <v>0</v>
      </c>
      <c r="P318" s="437">
        <f t="shared" si="65"/>
        <v>0</v>
      </c>
      <c r="Q318" s="288"/>
      <c r="R318" s="315" t="str">
        <f>IF(P150&gt;0,"xy","")</f>
        <v/>
      </c>
      <c r="S318" s="385" t="str">
        <f t="shared" si="67"/>
        <v/>
      </c>
    </row>
    <row r="319" spans="2:19" ht="13.5" hidden="1" thickBot="1">
      <c r="B319" s="632" t="s">
        <v>1971</v>
      </c>
      <c r="C319" s="714" t="s">
        <v>212</v>
      </c>
      <c r="D319" s="645" t="s">
        <v>840</v>
      </c>
      <c r="E319" s="701"/>
      <c r="F319" s="734" t="s">
        <v>830</v>
      </c>
      <c r="G319" s="735">
        <v>0.11</v>
      </c>
      <c r="H319" s="736">
        <f>SUM(H320:H323)</f>
        <v>40.525099999999995</v>
      </c>
      <c r="I319" s="732">
        <v>109.09</v>
      </c>
      <c r="J319" s="732">
        <f t="shared" ref="J319" si="87">IF(ISBLANK(I319),"",SUM(H319:I319))</f>
        <v>149.61509999999998</v>
      </c>
      <c r="K319" s="621">
        <f t="shared" si="70"/>
        <v>181.56</v>
      </c>
      <c r="L319" s="702" t="s">
        <v>16</v>
      </c>
      <c r="M319" s="780"/>
      <c r="N319" s="781"/>
      <c r="O319" s="434">
        <f t="shared" si="64"/>
        <v>0</v>
      </c>
      <c r="P319" s="435">
        <f t="shared" si="65"/>
        <v>0</v>
      </c>
      <c r="Q319" s="288"/>
      <c r="R319" s="243"/>
      <c r="S319" s="385" t="str">
        <f t="shared" si="67"/>
        <v/>
      </c>
    </row>
    <row r="320" spans="2:19" ht="13.5" hidden="1" thickBot="1">
      <c r="B320" s="609" t="s">
        <v>168</v>
      </c>
      <c r="C320" s="610"/>
      <c r="D320" s="648" t="s">
        <v>256</v>
      </c>
      <c r="E320" s="602"/>
      <c r="F320" s="737">
        <v>180</v>
      </c>
      <c r="G320" s="741"/>
      <c r="H320" s="739">
        <f t="shared" ref="H320" si="88">IF(F320&lt;=30,(0.7*F320+1.45)*G320,((0.7*30+1.45)+0.58*(F320-30))*G320)</f>
        <v>0</v>
      </c>
      <c r="I320" s="387"/>
      <c r="J320" s="387"/>
      <c r="K320" s="606">
        <f t="shared" si="70"/>
        <v>0</v>
      </c>
      <c r="L320" s="607" t="s">
        <v>777</v>
      </c>
      <c r="M320" s="782"/>
      <c r="N320" s="430"/>
      <c r="O320" s="287">
        <f t="shared" si="64"/>
        <v>0</v>
      </c>
      <c r="P320" s="391">
        <f t="shared" si="65"/>
        <v>0</v>
      </c>
      <c r="Q320" s="288"/>
      <c r="R320" s="315" t="str">
        <f>IF(P319&gt;0,"xy","")</f>
        <v/>
      </c>
      <c r="S320" s="385" t="str">
        <f t="shared" si="67"/>
        <v/>
      </c>
    </row>
    <row r="321" spans="2:19" ht="13.5" hidden="1" thickBot="1">
      <c r="B321" s="609" t="s">
        <v>168</v>
      </c>
      <c r="C321" s="610"/>
      <c r="D321" s="648" t="s">
        <v>257</v>
      </c>
      <c r="E321" s="602"/>
      <c r="F321" s="737">
        <v>500</v>
      </c>
      <c r="G321" s="741"/>
      <c r="H321" s="740">
        <f>IF(F321&lt;=30,(0.51*F321+4.28)*G321,((0.51*30+4.28)+0.42*(F321-30))*G321)</f>
        <v>0</v>
      </c>
      <c r="I321" s="387"/>
      <c r="J321" s="387" t="str">
        <f t="shared" ref="J321" si="89">IF(ISBLANK(I321),"",SUM(H321:I321))</f>
        <v/>
      </c>
      <c r="K321" s="606">
        <f t="shared" si="70"/>
        <v>0</v>
      </c>
      <c r="L321" s="607" t="s">
        <v>777</v>
      </c>
      <c r="M321" s="782"/>
      <c r="N321" s="430"/>
      <c r="O321" s="287">
        <f t="shared" si="64"/>
        <v>0</v>
      </c>
      <c r="P321" s="391">
        <f t="shared" si="65"/>
        <v>0</v>
      </c>
      <c r="Q321" s="288"/>
      <c r="R321" s="315" t="str">
        <f>IF(P319&gt;0,"xy","")</f>
        <v/>
      </c>
      <c r="S321" s="385" t="str">
        <f t="shared" si="67"/>
        <v/>
      </c>
    </row>
    <row r="322" spans="2:19" ht="13.5" hidden="1" thickBot="1">
      <c r="B322" s="609" t="s">
        <v>168</v>
      </c>
      <c r="C322" s="610"/>
      <c r="D322" s="648" t="s">
        <v>270</v>
      </c>
      <c r="E322" s="602"/>
      <c r="F322" s="737">
        <v>0.2</v>
      </c>
      <c r="G322" s="741">
        <v>2.09</v>
      </c>
      <c r="H322" s="740">
        <f>IF(F322=0,0,IF(F322&lt;=30,(0.7*F322+1.45)*G322,((0.7*30+1.45)+0.58*(F322-30))*G322))</f>
        <v>3.3230999999999993</v>
      </c>
      <c r="I322" s="387"/>
      <c r="J322" s="387"/>
      <c r="K322" s="606">
        <f t="shared" si="70"/>
        <v>0</v>
      </c>
      <c r="L322" s="607" t="s">
        <v>777</v>
      </c>
      <c r="M322" s="782"/>
      <c r="N322" s="430"/>
      <c r="O322" s="287">
        <f t="shared" si="64"/>
        <v>0</v>
      </c>
      <c r="P322" s="391">
        <f t="shared" si="65"/>
        <v>0</v>
      </c>
      <c r="Q322" s="288"/>
      <c r="R322" s="315" t="str">
        <f>IF(P319&gt;0,"xy","")</f>
        <v/>
      </c>
      <c r="S322" s="385" t="str">
        <f t="shared" si="67"/>
        <v/>
      </c>
    </row>
    <row r="323" spans="2:19" ht="13.5" hidden="1" thickBot="1">
      <c r="B323" s="609" t="s">
        <v>168</v>
      </c>
      <c r="C323" s="610"/>
      <c r="D323" s="648" t="s">
        <v>271</v>
      </c>
      <c r="E323" s="602"/>
      <c r="F323" s="737">
        <v>20</v>
      </c>
      <c r="G323" s="741">
        <f>SUM(G319:G322)</f>
        <v>2.1999999999999997</v>
      </c>
      <c r="H323" s="740">
        <f>IF(F323&lt;=30,(0.7*F323+2.91)*G323,((0.7*30+2.91)+0.58*(F323-30))*G323)</f>
        <v>37.201999999999998</v>
      </c>
      <c r="I323" s="387"/>
      <c r="J323" s="387"/>
      <c r="K323" s="606">
        <f t="shared" si="70"/>
        <v>0</v>
      </c>
      <c r="L323" s="607" t="s">
        <v>777</v>
      </c>
      <c r="M323" s="782"/>
      <c r="N323" s="786"/>
      <c r="O323" s="287">
        <f t="shared" si="64"/>
        <v>0</v>
      </c>
      <c r="P323" s="391">
        <f t="shared" si="65"/>
        <v>0</v>
      </c>
      <c r="Q323" s="288"/>
      <c r="R323" s="243" t="str">
        <f>IF(P319&gt;0,"xy","")</f>
        <v/>
      </c>
      <c r="S323" s="385" t="str">
        <f t="shared" si="67"/>
        <v/>
      </c>
    </row>
    <row r="324" spans="2:19" ht="13.5" hidden="1" thickBot="1">
      <c r="B324" s="633" t="s">
        <v>1047</v>
      </c>
      <c r="C324" s="715" t="s">
        <v>241</v>
      </c>
      <c r="D324" s="646" t="s">
        <v>1027</v>
      </c>
      <c r="E324" s="704"/>
      <c r="F324" s="742">
        <v>500</v>
      </c>
      <c r="G324" s="743">
        <v>1</v>
      </c>
      <c r="H324" s="744">
        <f>(0.52*F324+25.75)*G324</f>
        <v>285.75</v>
      </c>
      <c r="I324" s="733">
        <v>4206.5200000000004</v>
      </c>
      <c r="J324" s="733">
        <f>IF(ISBLANK(I324),"",I324*(1+$F$9)/(1+$F$10))+H324</f>
        <v>4281.8573391017726</v>
      </c>
      <c r="K324" s="658">
        <f t="shared" si="70"/>
        <v>5196.03</v>
      </c>
      <c r="L324" s="705" t="s">
        <v>20</v>
      </c>
      <c r="M324" s="777">
        <f>ROUND(M319*G319,2)</f>
        <v>0</v>
      </c>
      <c r="N324" s="783"/>
      <c r="O324" s="436">
        <f t="shared" si="64"/>
        <v>0</v>
      </c>
      <c r="P324" s="437">
        <f t="shared" si="65"/>
        <v>0</v>
      </c>
      <c r="Q324" s="288"/>
      <c r="R324" s="315" t="str">
        <f>IF(P144&gt;0,"xy","")</f>
        <v/>
      </c>
      <c r="S324" s="385" t="str">
        <f t="shared" si="67"/>
        <v/>
      </c>
    </row>
    <row r="325" spans="2:19" ht="13.5" hidden="1" thickBot="1">
      <c r="B325" s="632" t="s">
        <v>1972</v>
      </c>
      <c r="C325" s="714" t="s">
        <v>212</v>
      </c>
      <c r="D325" s="645" t="s">
        <v>841</v>
      </c>
      <c r="E325" s="701"/>
      <c r="F325" s="734" t="s">
        <v>830</v>
      </c>
      <c r="G325" s="735">
        <v>0.11</v>
      </c>
      <c r="H325" s="736">
        <f>SUM(H326:H329)</f>
        <v>40.525099999999995</v>
      </c>
      <c r="I325" s="732">
        <v>109.09</v>
      </c>
      <c r="J325" s="732">
        <f t="shared" ref="J325" si="90">IF(ISBLANK(I325),"",SUM(H325:I325))</f>
        <v>149.61509999999998</v>
      </c>
      <c r="K325" s="621">
        <f t="shared" si="70"/>
        <v>181.56</v>
      </c>
      <c r="L325" s="702" t="s">
        <v>16</v>
      </c>
      <c r="M325" s="780"/>
      <c r="N325" s="781"/>
      <c r="O325" s="434">
        <f t="shared" si="64"/>
        <v>0</v>
      </c>
      <c r="P325" s="435">
        <f t="shared" si="65"/>
        <v>0</v>
      </c>
      <c r="Q325" s="288"/>
      <c r="R325" s="243"/>
      <c r="S325" s="385" t="str">
        <f t="shared" si="67"/>
        <v/>
      </c>
    </row>
    <row r="326" spans="2:19" ht="13.5" hidden="1" thickBot="1">
      <c r="B326" s="609" t="s">
        <v>168</v>
      </c>
      <c r="C326" s="610"/>
      <c r="D326" s="648" t="s">
        <v>256</v>
      </c>
      <c r="E326" s="602"/>
      <c r="F326" s="737">
        <v>180</v>
      </c>
      <c r="G326" s="741"/>
      <c r="H326" s="739">
        <f t="shared" ref="H326" si="91">IF(F326&lt;=30,(0.7*F326+1.45)*G326,((0.7*30+1.45)+0.58*(F326-30))*G326)</f>
        <v>0</v>
      </c>
      <c r="I326" s="387"/>
      <c r="J326" s="387"/>
      <c r="K326" s="606">
        <f t="shared" si="70"/>
        <v>0</v>
      </c>
      <c r="L326" s="607" t="s">
        <v>777</v>
      </c>
      <c r="M326" s="782"/>
      <c r="N326" s="430"/>
      <c r="O326" s="287">
        <f t="shared" si="64"/>
        <v>0</v>
      </c>
      <c r="P326" s="391">
        <f t="shared" si="65"/>
        <v>0</v>
      </c>
      <c r="Q326" s="288"/>
      <c r="R326" s="315" t="str">
        <f>IF(P325&gt;0,"xy","")</f>
        <v/>
      </c>
      <c r="S326" s="385" t="str">
        <f t="shared" si="67"/>
        <v/>
      </c>
    </row>
    <row r="327" spans="2:19" ht="13.5" hidden="1" thickBot="1">
      <c r="B327" s="609" t="s">
        <v>168</v>
      </c>
      <c r="C327" s="610"/>
      <c r="D327" s="648" t="s">
        <v>257</v>
      </c>
      <c r="E327" s="602"/>
      <c r="F327" s="737">
        <v>500</v>
      </c>
      <c r="G327" s="741"/>
      <c r="H327" s="740">
        <f>IF(F327&lt;=30,(0.51*F327+4.28)*G327,((0.51*30+4.28)+0.42*(F327-30))*G327)</f>
        <v>0</v>
      </c>
      <c r="I327" s="387"/>
      <c r="J327" s="387" t="str">
        <f t="shared" ref="J327" si="92">IF(ISBLANK(I327),"",SUM(H327:I327))</f>
        <v/>
      </c>
      <c r="K327" s="606">
        <f t="shared" si="70"/>
        <v>0</v>
      </c>
      <c r="L327" s="607" t="s">
        <v>777</v>
      </c>
      <c r="M327" s="782"/>
      <c r="N327" s="430"/>
      <c r="O327" s="287">
        <f t="shared" si="64"/>
        <v>0</v>
      </c>
      <c r="P327" s="391">
        <f t="shared" si="65"/>
        <v>0</v>
      </c>
      <c r="Q327" s="288"/>
      <c r="R327" s="315" t="str">
        <f>IF(P325&gt;0,"xy","")</f>
        <v/>
      </c>
      <c r="S327" s="385" t="str">
        <f t="shared" si="67"/>
        <v/>
      </c>
    </row>
    <row r="328" spans="2:19" ht="13.5" hidden="1" thickBot="1">
      <c r="B328" s="609" t="s">
        <v>168</v>
      </c>
      <c r="C328" s="610"/>
      <c r="D328" s="648" t="s">
        <v>270</v>
      </c>
      <c r="E328" s="602"/>
      <c r="F328" s="737">
        <v>0.2</v>
      </c>
      <c r="G328" s="741">
        <v>2.09</v>
      </c>
      <c r="H328" s="740">
        <f>IF(F328=0,0,IF(F328&lt;=30,(0.7*F328+1.45)*G328,((0.7*30+1.45)+0.58*(F328-30))*G328))</f>
        <v>3.3230999999999993</v>
      </c>
      <c r="I328" s="387"/>
      <c r="J328" s="387"/>
      <c r="K328" s="606">
        <f t="shared" si="70"/>
        <v>0</v>
      </c>
      <c r="L328" s="607" t="s">
        <v>777</v>
      </c>
      <c r="M328" s="782"/>
      <c r="N328" s="430"/>
      <c r="O328" s="287">
        <f t="shared" si="64"/>
        <v>0</v>
      </c>
      <c r="P328" s="391">
        <f t="shared" si="65"/>
        <v>0</v>
      </c>
      <c r="Q328" s="288"/>
      <c r="R328" s="315" t="str">
        <f>IF(P325&gt;0,"xy","")</f>
        <v/>
      </c>
      <c r="S328" s="385" t="str">
        <f t="shared" si="67"/>
        <v/>
      </c>
    </row>
    <row r="329" spans="2:19" ht="13.5" hidden="1" thickBot="1">
      <c r="B329" s="609" t="s">
        <v>168</v>
      </c>
      <c r="C329" s="610"/>
      <c r="D329" s="648" t="s">
        <v>271</v>
      </c>
      <c r="E329" s="602"/>
      <c r="F329" s="737">
        <v>20</v>
      </c>
      <c r="G329" s="741">
        <f>SUM(G325:G328)</f>
        <v>2.1999999999999997</v>
      </c>
      <c r="H329" s="740">
        <f>IF(F329&lt;=30,(0.7*F329+2.91)*G329,((0.7*30+2.91)+0.58*(F329-30))*G329)</f>
        <v>37.201999999999998</v>
      </c>
      <c r="I329" s="387"/>
      <c r="J329" s="387"/>
      <c r="K329" s="606">
        <f t="shared" si="70"/>
        <v>0</v>
      </c>
      <c r="L329" s="607" t="s">
        <v>777</v>
      </c>
      <c r="M329" s="782"/>
      <c r="N329" s="786"/>
      <c r="O329" s="287">
        <f t="shared" si="64"/>
        <v>0</v>
      </c>
      <c r="P329" s="391">
        <f t="shared" si="65"/>
        <v>0</v>
      </c>
      <c r="Q329" s="288"/>
      <c r="R329" s="243" t="str">
        <f>IF(P325&gt;0,"xy","")</f>
        <v/>
      </c>
      <c r="S329" s="385" t="str">
        <f t="shared" si="67"/>
        <v/>
      </c>
    </row>
    <row r="330" spans="2:19" ht="13.5" hidden="1" thickBot="1">
      <c r="B330" s="633" t="s">
        <v>1048</v>
      </c>
      <c r="C330" s="715" t="s">
        <v>241</v>
      </c>
      <c r="D330" s="646" t="s">
        <v>1027</v>
      </c>
      <c r="E330" s="704"/>
      <c r="F330" s="742">
        <v>500</v>
      </c>
      <c r="G330" s="743">
        <v>1</v>
      </c>
      <c r="H330" s="744">
        <f>(0.52*F330+25.75)*G330</f>
        <v>285.75</v>
      </c>
      <c r="I330" s="733">
        <v>4206.5200000000004</v>
      </c>
      <c r="J330" s="733">
        <f>IF(ISBLANK(I330),"",I330*(1+$F$9)/(1+$F$10))+H330</f>
        <v>4281.8573391017726</v>
      </c>
      <c r="K330" s="658">
        <f t="shared" si="70"/>
        <v>5196.03</v>
      </c>
      <c r="L330" s="705" t="s">
        <v>20</v>
      </c>
      <c r="M330" s="777">
        <f>ROUND(M325*G325,2)</f>
        <v>0</v>
      </c>
      <c r="N330" s="783"/>
      <c r="O330" s="436">
        <f t="shared" si="64"/>
        <v>0</v>
      </c>
      <c r="P330" s="437">
        <f t="shared" si="65"/>
        <v>0</v>
      </c>
      <c r="Q330" s="288"/>
      <c r="R330" s="315" t="str">
        <f>IF(P150&gt;0,"xy","")</f>
        <v/>
      </c>
      <c r="S330" s="385" t="str">
        <f t="shared" si="67"/>
        <v/>
      </c>
    </row>
    <row r="331" spans="2:19" ht="13.5" hidden="1" thickBot="1">
      <c r="B331" s="632" t="s">
        <v>1973</v>
      </c>
      <c r="C331" s="714" t="s">
        <v>212</v>
      </c>
      <c r="D331" s="645" t="s">
        <v>840</v>
      </c>
      <c r="E331" s="701"/>
      <c r="F331" s="734" t="s">
        <v>830</v>
      </c>
      <c r="G331" s="735">
        <v>0.14000000000000001</v>
      </c>
      <c r="H331" s="736">
        <f>SUM(H332:H335)</f>
        <v>71.449600000000004</v>
      </c>
      <c r="I331" s="732">
        <v>109.09</v>
      </c>
      <c r="J331" s="732">
        <f t="shared" si="83"/>
        <v>180.53960000000001</v>
      </c>
      <c r="K331" s="621">
        <f t="shared" si="70"/>
        <v>219.08</v>
      </c>
      <c r="L331" s="702" t="s">
        <v>16</v>
      </c>
      <c r="M331" s="780"/>
      <c r="N331" s="781"/>
      <c r="O331" s="434">
        <f t="shared" si="64"/>
        <v>0</v>
      </c>
      <c r="P331" s="435">
        <f t="shared" si="65"/>
        <v>0</v>
      </c>
      <c r="Q331" s="288"/>
      <c r="R331" s="243"/>
      <c r="S331" s="385" t="str">
        <f t="shared" si="67"/>
        <v/>
      </c>
    </row>
    <row r="332" spans="2:19" ht="13.5" hidden="1" thickBot="1">
      <c r="B332" s="609" t="s">
        <v>168</v>
      </c>
      <c r="C332" s="610"/>
      <c r="D332" s="648" t="s">
        <v>256</v>
      </c>
      <c r="E332" s="602"/>
      <c r="F332" s="737">
        <v>180</v>
      </c>
      <c r="G332" s="741">
        <v>0.27</v>
      </c>
      <c r="H332" s="739">
        <f t="shared" ref="H332" si="93">IF(F332&lt;=30,(0.7*F332+1.45)*G332,((0.7*30+1.45)+0.58*(F332-30))*G332)</f>
        <v>29.551500000000004</v>
      </c>
      <c r="I332" s="387"/>
      <c r="J332" s="387"/>
      <c r="K332" s="606">
        <f t="shared" si="70"/>
        <v>0</v>
      </c>
      <c r="L332" s="607" t="s">
        <v>777</v>
      </c>
      <c r="M332" s="782"/>
      <c r="N332" s="430"/>
      <c r="O332" s="287">
        <f t="shared" si="64"/>
        <v>0</v>
      </c>
      <c r="P332" s="391">
        <f t="shared" si="65"/>
        <v>0</v>
      </c>
      <c r="Q332" s="288"/>
      <c r="R332" s="315" t="str">
        <f>IF(P331&gt;0,"xy","")</f>
        <v/>
      </c>
      <c r="S332" s="385" t="str">
        <f t="shared" si="67"/>
        <v/>
      </c>
    </row>
    <row r="333" spans="2:19" ht="13.5" hidden="1" thickBot="1">
      <c r="B333" s="609" t="s">
        <v>168</v>
      </c>
      <c r="C333" s="610"/>
      <c r="D333" s="648" t="s">
        <v>257</v>
      </c>
      <c r="E333" s="602"/>
      <c r="F333" s="737">
        <v>500</v>
      </c>
      <c r="G333" s="741"/>
      <c r="H333" s="740">
        <f>IF(F333&lt;=30,(0.51*F333+4.28)*G333,((0.51*30+4.28)+0.42*(F333-30))*G333)</f>
        <v>0</v>
      </c>
      <c r="I333" s="387"/>
      <c r="J333" s="387" t="str">
        <f t="shared" ref="J333" si="94">IF(ISBLANK(I333),"",SUM(H333:I333))</f>
        <v/>
      </c>
      <c r="K333" s="606">
        <f t="shared" si="70"/>
        <v>0</v>
      </c>
      <c r="L333" s="607" t="s">
        <v>777</v>
      </c>
      <c r="M333" s="782"/>
      <c r="N333" s="430"/>
      <c r="O333" s="287">
        <f t="shared" si="64"/>
        <v>0</v>
      </c>
      <c r="P333" s="391">
        <f t="shared" si="65"/>
        <v>0</v>
      </c>
      <c r="Q333" s="288"/>
      <c r="R333" s="315" t="str">
        <f>IF(P331&gt;0,"xy","")</f>
        <v/>
      </c>
      <c r="S333" s="385" t="str">
        <f t="shared" si="67"/>
        <v/>
      </c>
    </row>
    <row r="334" spans="2:19" ht="13.5" hidden="1" thickBot="1">
      <c r="B334" s="609" t="s">
        <v>168</v>
      </c>
      <c r="C334" s="610"/>
      <c r="D334" s="648" t="s">
        <v>270</v>
      </c>
      <c r="E334" s="602"/>
      <c r="F334" s="737">
        <v>0.2</v>
      </c>
      <c r="G334" s="741">
        <v>1.89</v>
      </c>
      <c r="H334" s="740">
        <f>IF(F334=0,0,IF(F334&lt;=30,(0.7*F334+1.45)*G334,((0.7*30+1.45)+0.58*(F334-30))*G334))</f>
        <v>3.0050999999999997</v>
      </c>
      <c r="I334" s="387"/>
      <c r="J334" s="387"/>
      <c r="K334" s="606">
        <f t="shared" si="70"/>
        <v>0</v>
      </c>
      <c r="L334" s="607" t="s">
        <v>777</v>
      </c>
      <c r="M334" s="782"/>
      <c r="N334" s="430"/>
      <c r="O334" s="287">
        <f t="shared" si="64"/>
        <v>0</v>
      </c>
      <c r="P334" s="391">
        <f t="shared" si="65"/>
        <v>0</v>
      </c>
      <c r="Q334" s="288"/>
      <c r="R334" s="315" t="str">
        <f>IF(P331&gt;0,"xy","")</f>
        <v/>
      </c>
      <c r="S334" s="385" t="str">
        <f t="shared" si="67"/>
        <v/>
      </c>
    </row>
    <row r="335" spans="2:19" ht="13.5" hidden="1" thickBot="1">
      <c r="B335" s="609" t="s">
        <v>168</v>
      </c>
      <c r="C335" s="610"/>
      <c r="D335" s="648" t="s">
        <v>271</v>
      </c>
      <c r="E335" s="602"/>
      <c r="F335" s="737">
        <v>20</v>
      </c>
      <c r="G335" s="741">
        <f>SUM(G331:G334)</f>
        <v>2.2999999999999998</v>
      </c>
      <c r="H335" s="740">
        <f>IF(F335&lt;=30,(0.7*F335+2.91)*G335,((0.7*30+2.91)+0.58*(F335-30))*G335)</f>
        <v>38.893000000000001</v>
      </c>
      <c r="I335" s="387"/>
      <c r="J335" s="387"/>
      <c r="K335" s="606">
        <f t="shared" si="70"/>
        <v>0</v>
      </c>
      <c r="L335" s="607" t="s">
        <v>777</v>
      </c>
      <c r="M335" s="782"/>
      <c r="N335" s="786"/>
      <c r="O335" s="287">
        <f t="shared" si="64"/>
        <v>0</v>
      </c>
      <c r="P335" s="391">
        <f t="shared" si="65"/>
        <v>0</v>
      </c>
      <c r="Q335" s="288"/>
      <c r="R335" s="243" t="str">
        <f>IF(P331&gt;0,"xy","")</f>
        <v/>
      </c>
      <c r="S335" s="385" t="str">
        <f t="shared" si="67"/>
        <v/>
      </c>
    </row>
    <row r="336" spans="2:19" ht="13.5" hidden="1" thickBot="1">
      <c r="B336" s="633" t="s">
        <v>1869</v>
      </c>
      <c r="C336" s="715" t="s">
        <v>241</v>
      </c>
      <c r="D336" s="646" t="s">
        <v>1027</v>
      </c>
      <c r="E336" s="704"/>
      <c r="F336" s="742">
        <v>500</v>
      </c>
      <c r="G336" s="743">
        <v>1</v>
      </c>
      <c r="H336" s="744">
        <f>(0.52*F336+25.75)*G336</f>
        <v>285.75</v>
      </c>
      <c r="I336" s="733">
        <v>4206.5200000000004</v>
      </c>
      <c r="J336" s="733">
        <f>IF(ISBLANK(I336),"",I336*(1+$F$9)/(1+$F$10))+H336</f>
        <v>4281.8573391017726</v>
      </c>
      <c r="K336" s="658">
        <f t="shared" si="70"/>
        <v>5196.03</v>
      </c>
      <c r="L336" s="705" t="s">
        <v>20</v>
      </c>
      <c r="M336" s="777">
        <f>ROUND(M331*G331,2)</f>
        <v>0</v>
      </c>
      <c r="N336" s="783"/>
      <c r="O336" s="436">
        <f t="shared" si="64"/>
        <v>0</v>
      </c>
      <c r="P336" s="437">
        <f t="shared" si="65"/>
        <v>0</v>
      </c>
      <c r="Q336" s="288"/>
      <c r="R336" s="315" t="str">
        <f>IF(P156&gt;0,"xy","")</f>
        <v/>
      </c>
      <c r="S336" s="385" t="str">
        <f t="shared" si="67"/>
        <v/>
      </c>
    </row>
    <row r="337" spans="2:19" ht="13.5" hidden="1" thickBot="1">
      <c r="B337" s="632" t="s">
        <v>1864</v>
      </c>
      <c r="C337" s="714" t="s">
        <v>212</v>
      </c>
      <c r="D337" s="645" t="s">
        <v>841</v>
      </c>
      <c r="E337" s="701"/>
      <c r="F337" s="734" t="s">
        <v>830</v>
      </c>
      <c r="G337" s="735">
        <v>0.14000000000000001</v>
      </c>
      <c r="H337" s="736">
        <f>SUM(H338:H341)</f>
        <v>71.449600000000004</v>
      </c>
      <c r="I337" s="732">
        <v>109.09</v>
      </c>
      <c r="J337" s="732">
        <f t="shared" ref="J337" si="95">IF(ISBLANK(I337),"",SUM(H337:I337))</f>
        <v>180.53960000000001</v>
      </c>
      <c r="K337" s="621">
        <f t="shared" si="70"/>
        <v>219.08</v>
      </c>
      <c r="L337" s="702" t="s">
        <v>16</v>
      </c>
      <c r="M337" s="780"/>
      <c r="N337" s="781"/>
      <c r="O337" s="434">
        <f t="shared" si="64"/>
        <v>0</v>
      </c>
      <c r="P337" s="435">
        <f t="shared" si="65"/>
        <v>0</v>
      </c>
      <c r="Q337" s="288"/>
      <c r="R337" s="243"/>
      <c r="S337" s="385" t="str">
        <f t="shared" si="67"/>
        <v/>
      </c>
    </row>
    <row r="338" spans="2:19" ht="13.5" hidden="1" thickBot="1">
      <c r="B338" s="609" t="s">
        <v>168</v>
      </c>
      <c r="C338" s="610"/>
      <c r="D338" s="648" t="s">
        <v>256</v>
      </c>
      <c r="E338" s="602"/>
      <c r="F338" s="737">
        <v>180</v>
      </c>
      <c r="G338" s="741">
        <v>0.27</v>
      </c>
      <c r="H338" s="739">
        <f t="shared" ref="H338" si="96">IF(F338&lt;=30,(0.7*F338+1.45)*G338,((0.7*30+1.45)+0.58*(F338-30))*G338)</f>
        <v>29.551500000000004</v>
      </c>
      <c r="I338" s="387"/>
      <c r="J338" s="387"/>
      <c r="K338" s="606">
        <f t="shared" si="70"/>
        <v>0</v>
      </c>
      <c r="L338" s="607" t="s">
        <v>777</v>
      </c>
      <c r="M338" s="782"/>
      <c r="N338" s="430"/>
      <c r="O338" s="287">
        <f t="shared" si="64"/>
        <v>0</v>
      </c>
      <c r="P338" s="391">
        <f t="shared" si="65"/>
        <v>0</v>
      </c>
      <c r="Q338" s="288"/>
      <c r="R338" s="315" t="str">
        <f>IF(P337&gt;0,"xy","")</f>
        <v/>
      </c>
      <c r="S338" s="385" t="str">
        <f t="shared" si="67"/>
        <v/>
      </c>
    </row>
    <row r="339" spans="2:19" ht="13.5" hidden="1" thickBot="1">
      <c r="B339" s="609" t="s">
        <v>168</v>
      </c>
      <c r="C339" s="610"/>
      <c r="D339" s="648" t="s">
        <v>257</v>
      </c>
      <c r="E339" s="602"/>
      <c r="F339" s="737">
        <v>500</v>
      </c>
      <c r="G339" s="741"/>
      <c r="H339" s="740">
        <f>IF(F339&lt;=30,(0.51*F339+4.28)*G339,((0.51*30+4.28)+0.42*(F339-30))*G339)</f>
        <v>0</v>
      </c>
      <c r="I339" s="387"/>
      <c r="J339" s="387" t="str">
        <f t="shared" ref="J339" si="97">IF(ISBLANK(I339),"",SUM(H339:I339))</f>
        <v/>
      </c>
      <c r="K339" s="606">
        <f t="shared" si="70"/>
        <v>0</v>
      </c>
      <c r="L339" s="607" t="s">
        <v>777</v>
      </c>
      <c r="M339" s="782"/>
      <c r="N339" s="430"/>
      <c r="O339" s="287">
        <f t="shared" si="64"/>
        <v>0</v>
      </c>
      <c r="P339" s="391">
        <f t="shared" si="65"/>
        <v>0</v>
      </c>
      <c r="Q339" s="288"/>
      <c r="R339" s="315" t="str">
        <f>IF(P337&gt;0,"xy","")</f>
        <v/>
      </c>
      <c r="S339" s="385" t="str">
        <f t="shared" si="67"/>
        <v/>
      </c>
    </row>
    <row r="340" spans="2:19" ht="13.5" hidden="1" thickBot="1">
      <c r="B340" s="609" t="s">
        <v>168</v>
      </c>
      <c r="C340" s="610"/>
      <c r="D340" s="648" t="s">
        <v>270</v>
      </c>
      <c r="E340" s="602"/>
      <c r="F340" s="737">
        <v>0.2</v>
      </c>
      <c r="G340" s="741">
        <v>1.89</v>
      </c>
      <c r="H340" s="740">
        <f>IF(F340=0,0,IF(F340&lt;=30,(0.7*F340+1.45)*G340,((0.7*30+1.45)+0.58*(F340-30))*G340))</f>
        <v>3.0050999999999997</v>
      </c>
      <c r="I340" s="387"/>
      <c r="J340" s="387"/>
      <c r="K340" s="606">
        <f t="shared" si="70"/>
        <v>0</v>
      </c>
      <c r="L340" s="607" t="s">
        <v>777</v>
      </c>
      <c r="M340" s="782"/>
      <c r="N340" s="430"/>
      <c r="O340" s="287">
        <f t="shared" si="64"/>
        <v>0</v>
      </c>
      <c r="P340" s="391">
        <f t="shared" si="65"/>
        <v>0</v>
      </c>
      <c r="Q340" s="288"/>
      <c r="R340" s="315" t="str">
        <f>IF(P337&gt;0,"xy","")</f>
        <v/>
      </c>
      <c r="S340" s="385" t="str">
        <f t="shared" si="67"/>
        <v/>
      </c>
    </row>
    <row r="341" spans="2:19" ht="13.5" hidden="1" thickBot="1">
      <c r="B341" s="609" t="s">
        <v>168</v>
      </c>
      <c r="C341" s="610"/>
      <c r="D341" s="648" t="s">
        <v>271</v>
      </c>
      <c r="E341" s="602"/>
      <c r="F341" s="737">
        <v>20</v>
      </c>
      <c r="G341" s="741">
        <f>SUM(G337:G340)</f>
        <v>2.2999999999999998</v>
      </c>
      <c r="H341" s="740">
        <f>IF(F341&lt;=30,(0.7*F341+2.91)*G341,((0.7*30+2.91)+0.58*(F341-30))*G341)</f>
        <v>38.893000000000001</v>
      </c>
      <c r="I341" s="387"/>
      <c r="J341" s="387"/>
      <c r="K341" s="606">
        <f t="shared" si="70"/>
        <v>0</v>
      </c>
      <c r="L341" s="607" t="s">
        <v>777</v>
      </c>
      <c r="M341" s="782"/>
      <c r="N341" s="786"/>
      <c r="O341" s="287">
        <f t="shared" si="64"/>
        <v>0</v>
      </c>
      <c r="P341" s="391">
        <f t="shared" si="65"/>
        <v>0</v>
      </c>
      <c r="Q341" s="288"/>
      <c r="R341" s="243" t="str">
        <f>IF(P337&gt;0,"xy","")</f>
        <v/>
      </c>
      <c r="S341" s="385" t="str">
        <f t="shared" si="67"/>
        <v/>
      </c>
    </row>
    <row r="342" spans="2:19" ht="13.5" hidden="1" thickBot="1">
      <c r="B342" s="633" t="s">
        <v>1970</v>
      </c>
      <c r="C342" s="715" t="s">
        <v>241</v>
      </c>
      <c r="D342" s="646" t="s">
        <v>1027</v>
      </c>
      <c r="E342" s="704"/>
      <c r="F342" s="742">
        <v>500</v>
      </c>
      <c r="G342" s="743">
        <v>1</v>
      </c>
      <c r="H342" s="744">
        <f>(0.52*F342+25.75)*G342</f>
        <v>285.75</v>
      </c>
      <c r="I342" s="733">
        <v>4206.5200000000004</v>
      </c>
      <c r="J342" s="733">
        <f>IF(ISBLANK(I342),"",I342*(1+$F$9)/(1+$F$10))+H342</f>
        <v>4281.8573391017726</v>
      </c>
      <c r="K342" s="658">
        <f t="shared" si="70"/>
        <v>5196.03</v>
      </c>
      <c r="L342" s="705" t="s">
        <v>20</v>
      </c>
      <c r="M342" s="777">
        <f>ROUND(M337*G337,2)</f>
        <v>0</v>
      </c>
      <c r="N342" s="783"/>
      <c r="O342" s="436">
        <f t="shared" si="64"/>
        <v>0</v>
      </c>
      <c r="P342" s="437">
        <f t="shared" si="65"/>
        <v>0</v>
      </c>
      <c r="Q342" s="288"/>
      <c r="R342" s="315" t="str">
        <f>IF(P162&gt;0,"xy","")</f>
        <v/>
      </c>
      <c r="S342" s="385" t="str">
        <f t="shared" si="67"/>
        <v/>
      </c>
    </row>
    <row r="343" spans="2:19" ht="13.5" hidden="1" thickBot="1">
      <c r="B343" s="632" t="s">
        <v>1865</v>
      </c>
      <c r="C343" s="714" t="s">
        <v>212</v>
      </c>
      <c r="D343" s="645" t="s">
        <v>1028</v>
      </c>
      <c r="E343" s="701"/>
      <c r="F343" s="734" t="s">
        <v>830</v>
      </c>
      <c r="G343" s="735">
        <v>0.18240000000000001</v>
      </c>
      <c r="H343" s="736">
        <f>SUM(H344:H347)</f>
        <v>123.92649</v>
      </c>
      <c r="I343" s="732">
        <v>109.09</v>
      </c>
      <c r="J343" s="732">
        <f t="shared" ref="J343" si="98">IF(ISBLANK(I343),"",SUM(H343:I343))</f>
        <v>233.01649</v>
      </c>
      <c r="K343" s="621">
        <f t="shared" si="70"/>
        <v>282.77</v>
      </c>
      <c r="L343" s="702" t="s">
        <v>20</v>
      </c>
      <c r="M343" s="780"/>
      <c r="N343" s="781"/>
      <c r="O343" s="434">
        <f t="shared" si="64"/>
        <v>0</v>
      </c>
      <c r="P343" s="435">
        <f t="shared" si="65"/>
        <v>0</v>
      </c>
      <c r="Q343" s="288"/>
      <c r="R343" s="243"/>
      <c r="S343" s="385" t="str">
        <f t="shared" si="67"/>
        <v/>
      </c>
    </row>
    <row r="344" spans="2:19" ht="13.5" hidden="1" thickBot="1">
      <c r="B344" s="609" t="s">
        <v>168</v>
      </c>
      <c r="C344" s="610"/>
      <c r="D344" s="648" t="s">
        <v>256</v>
      </c>
      <c r="E344" s="602"/>
      <c r="F344" s="737">
        <v>180</v>
      </c>
      <c r="G344" s="741">
        <v>0.56969999999999998</v>
      </c>
      <c r="H344" s="739">
        <f t="shared" ref="H344" si="99">IF(F344&lt;=30,(0.7*F344+1.45)*G344,((0.7*30+1.45)+0.58*(F344-30))*G344)</f>
        <v>62.353664999999999</v>
      </c>
      <c r="I344" s="387"/>
      <c r="J344" s="387"/>
      <c r="K344" s="606">
        <f t="shared" si="70"/>
        <v>0</v>
      </c>
      <c r="L344" s="716" t="s">
        <v>777</v>
      </c>
      <c r="M344" s="782"/>
      <c r="N344" s="430"/>
      <c r="O344" s="287">
        <f t="shared" si="64"/>
        <v>0</v>
      </c>
      <c r="P344" s="391">
        <f t="shared" si="65"/>
        <v>0</v>
      </c>
      <c r="Q344" s="288"/>
      <c r="R344" s="315" t="str">
        <f>IF(P343&gt;0,"xy","")</f>
        <v/>
      </c>
      <c r="S344" s="385" t="str">
        <f t="shared" si="67"/>
        <v/>
      </c>
    </row>
    <row r="345" spans="2:19" ht="13.5" hidden="1" thickBot="1">
      <c r="B345" s="609" t="s">
        <v>168</v>
      </c>
      <c r="C345" s="610"/>
      <c r="D345" s="648" t="s">
        <v>257</v>
      </c>
      <c r="E345" s="602"/>
      <c r="F345" s="737">
        <v>500</v>
      </c>
      <c r="G345" s="741">
        <v>8.7599999999999997E-2</v>
      </c>
      <c r="H345" s="740">
        <f>IF(F345&lt;=30,(0.51*F345+4.28)*G345,((0.51*30+4.28)+0.42*(F345-30))*G345)</f>
        <v>19.007448</v>
      </c>
      <c r="I345" s="387"/>
      <c r="J345" s="387"/>
      <c r="K345" s="606">
        <f t="shared" si="70"/>
        <v>0</v>
      </c>
      <c r="L345" s="716" t="s">
        <v>777</v>
      </c>
      <c r="M345" s="782"/>
      <c r="N345" s="430"/>
      <c r="O345" s="287">
        <f t="shared" si="64"/>
        <v>0</v>
      </c>
      <c r="P345" s="391">
        <f t="shared" si="65"/>
        <v>0</v>
      </c>
      <c r="Q345" s="288"/>
      <c r="R345" s="315" t="str">
        <f>IF(P343&gt;0,"xy","")</f>
        <v/>
      </c>
      <c r="S345" s="385" t="str">
        <f t="shared" si="67"/>
        <v/>
      </c>
    </row>
    <row r="346" spans="2:19" ht="13.5" hidden="1" thickBot="1">
      <c r="B346" s="609" t="s">
        <v>168</v>
      </c>
      <c r="C346" s="610"/>
      <c r="D346" s="648" t="s">
        <v>270</v>
      </c>
      <c r="E346" s="602"/>
      <c r="F346" s="737">
        <v>0.2</v>
      </c>
      <c r="G346" s="741">
        <v>1.5333000000000001</v>
      </c>
      <c r="H346" s="740">
        <f>IF(F346=0,0,IF(F346&lt;=30,(0.7*F346+1.45)*G346,((0.7*30+1.45)+0.58*(F346-30))*G346))</f>
        <v>2.4379469999999999</v>
      </c>
      <c r="I346" s="387"/>
      <c r="J346" s="387"/>
      <c r="K346" s="606">
        <f t="shared" si="70"/>
        <v>0</v>
      </c>
      <c r="L346" s="716" t="s">
        <v>777</v>
      </c>
      <c r="M346" s="782"/>
      <c r="N346" s="430"/>
      <c r="O346" s="287">
        <f t="shared" si="64"/>
        <v>0</v>
      </c>
      <c r="P346" s="391">
        <f t="shared" si="65"/>
        <v>0</v>
      </c>
      <c r="Q346" s="288"/>
      <c r="R346" s="315" t="str">
        <f>IF(P343&gt;0,"xy","")</f>
        <v/>
      </c>
      <c r="S346" s="385" t="str">
        <f t="shared" si="67"/>
        <v/>
      </c>
    </row>
    <row r="347" spans="2:19" ht="13.5" hidden="1" thickBot="1">
      <c r="B347" s="609" t="s">
        <v>168</v>
      </c>
      <c r="C347" s="610"/>
      <c r="D347" s="648" t="s">
        <v>271</v>
      </c>
      <c r="E347" s="602"/>
      <c r="F347" s="737">
        <v>20</v>
      </c>
      <c r="G347" s="741">
        <f>SUM(G343:G346)</f>
        <v>2.3730000000000002</v>
      </c>
      <c r="H347" s="740">
        <f>IF(F347&lt;=30,(0.7*F347+2.91)*G347,((0.7*30+2.91)+0.58*(F347-30))*G347)</f>
        <v>40.127430000000004</v>
      </c>
      <c r="I347" s="387"/>
      <c r="J347" s="387"/>
      <c r="K347" s="606">
        <f t="shared" si="70"/>
        <v>0</v>
      </c>
      <c r="L347" s="716" t="s">
        <v>777</v>
      </c>
      <c r="M347" s="782"/>
      <c r="N347" s="786"/>
      <c r="O347" s="287">
        <f t="shared" si="64"/>
        <v>0</v>
      </c>
      <c r="P347" s="391">
        <f t="shared" si="65"/>
        <v>0</v>
      </c>
      <c r="Q347" s="288"/>
      <c r="R347" s="243" t="str">
        <f>IF(P343&gt;0,"xy","")</f>
        <v/>
      </c>
      <c r="S347" s="385" t="str">
        <f t="shared" si="67"/>
        <v/>
      </c>
    </row>
    <row r="348" spans="2:19" ht="13.5" hidden="1" thickBot="1">
      <c r="B348" s="633" t="s">
        <v>1870</v>
      </c>
      <c r="C348" s="715" t="s">
        <v>241</v>
      </c>
      <c r="D348" s="646" t="s">
        <v>1862</v>
      </c>
      <c r="E348" s="704"/>
      <c r="F348" s="742">
        <v>500</v>
      </c>
      <c r="G348" s="743">
        <v>1</v>
      </c>
      <c r="H348" s="744">
        <f>(0.52*F348+25.75)*G348</f>
        <v>285.75</v>
      </c>
      <c r="I348" s="733">
        <v>4206.5200000000004</v>
      </c>
      <c r="J348" s="733">
        <f>IF(ISBLANK(I348),"",I348*(1+$F$9)/(1+$F$10))+H348</f>
        <v>4281.8573391017726</v>
      </c>
      <c r="K348" s="658">
        <f t="shared" si="70"/>
        <v>5196.03</v>
      </c>
      <c r="L348" s="705" t="s">
        <v>20</v>
      </c>
      <c r="M348" s="777">
        <f>ROUND(M343*G343,2)</f>
        <v>0</v>
      </c>
      <c r="N348" s="783"/>
      <c r="O348" s="436">
        <f t="shared" si="64"/>
        <v>0</v>
      </c>
      <c r="P348" s="437">
        <f t="shared" si="65"/>
        <v>0</v>
      </c>
      <c r="Q348" s="288"/>
      <c r="R348" s="315" t="str">
        <f>IF(P168&gt;0,"xy","")</f>
        <v/>
      </c>
      <c r="S348" s="385" t="str">
        <f t="shared" si="67"/>
        <v/>
      </c>
    </row>
    <row r="349" spans="2:19" ht="13.5" hidden="1" thickBot="1">
      <c r="B349" s="632" t="s">
        <v>1976</v>
      </c>
      <c r="C349" s="714" t="s">
        <v>212</v>
      </c>
      <c r="D349" s="717" t="s">
        <v>1029</v>
      </c>
      <c r="E349" s="701"/>
      <c r="F349" s="734" t="s">
        <v>829</v>
      </c>
      <c r="G349" s="735">
        <v>0.04</v>
      </c>
      <c r="H349" s="736">
        <f>SUM(H350:H353)</f>
        <v>22.257249999999999</v>
      </c>
      <c r="I349" s="732">
        <v>135.25</v>
      </c>
      <c r="J349" s="732">
        <f t="shared" si="83"/>
        <v>157.50725</v>
      </c>
      <c r="K349" s="621">
        <f t="shared" si="70"/>
        <v>191.14</v>
      </c>
      <c r="L349" s="702" t="s">
        <v>20</v>
      </c>
      <c r="M349" s="780"/>
      <c r="N349" s="781"/>
      <c r="O349" s="434">
        <f t="shared" si="64"/>
        <v>0</v>
      </c>
      <c r="P349" s="435">
        <f t="shared" si="65"/>
        <v>0</v>
      </c>
      <c r="Q349" s="288"/>
      <c r="R349" s="243"/>
      <c r="S349" s="385" t="str">
        <f t="shared" si="67"/>
        <v/>
      </c>
    </row>
    <row r="350" spans="2:19" ht="13.5" hidden="1" thickBot="1">
      <c r="B350" s="609" t="s">
        <v>168</v>
      </c>
      <c r="C350" s="610"/>
      <c r="D350" s="648" t="s">
        <v>256</v>
      </c>
      <c r="E350" s="602"/>
      <c r="F350" s="737">
        <v>180</v>
      </c>
      <c r="G350" s="741">
        <v>0</v>
      </c>
      <c r="H350" s="739">
        <f t="shared" ref="H350" si="100">IF(F350&lt;=30,(0.7*F350+1.45)*G350,((0.7*30+1.45)+0.58*(F350-30))*G350)</f>
        <v>0</v>
      </c>
      <c r="I350" s="387"/>
      <c r="J350" s="387" t="str">
        <f t="shared" ref="J350" si="101">IF(ISBLANK(I350),"",SUM(H350:I350))</f>
        <v/>
      </c>
      <c r="K350" s="606">
        <f t="shared" si="70"/>
        <v>0</v>
      </c>
      <c r="L350" s="716" t="s">
        <v>777</v>
      </c>
      <c r="M350" s="782"/>
      <c r="N350" s="430"/>
      <c r="O350" s="287">
        <f t="shared" si="64"/>
        <v>0</v>
      </c>
      <c r="P350" s="391">
        <f t="shared" si="65"/>
        <v>0</v>
      </c>
      <c r="Q350" s="288"/>
      <c r="R350" s="315" t="str">
        <f>IF(P349&gt;0,"xy","")</f>
        <v/>
      </c>
      <c r="S350" s="385" t="str">
        <f t="shared" si="67"/>
        <v/>
      </c>
    </row>
    <row r="351" spans="2:19" ht="13.5" hidden="1" thickBot="1">
      <c r="B351" s="609" t="s">
        <v>168</v>
      </c>
      <c r="C351" s="610"/>
      <c r="D351" s="648" t="s">
        <v>257</v>
      </c>
      <c r="E351" s="602"/>
      <c r="F351" s="737">
        <v>500</v>
      </c>
      <c r="G351" s="741">
        <v>1.4999999999999999E-2</v>
      </c>
      <c r="H351" s="740">
        <f>IF(F351&lt;=30,(0.51*F351+4.28)*G351,((0.51*30+4.28)+0.42*(F351-30))*G351)</f>
        <v>3.2547000000000001</v>
      </c>
      <c r="I351" s="387"/>
      <c r="J351" s="387"/>
      <c r="K351" s="606">
        <f t="shared" si="70"/>
        <v>0</v>
      </c>
      <c r="L351" s="716" t="s">
        <v>777</v>
      </c>
      <c r="M351" s="782"/>
      <c r="N351" s="430"/>
      <c r="O351" s="287">
        <f t="shared" si="64"/>
        <v>0</v>
      </c>
      <c r="P351" s="391">
        <f t="shared" si="65"/>
        <v>0</v>
      </c>
      <c r="Q351" s="288"/>
      <c r="R351" s="315" t="str">
        <f>IF(P349&gt;0,"xy","")</f>
        <v/>
      </c>
      <c r="S351" s="385" t="str">
        <f t="shared" si="67"/>
        <v/>
      </c>
    </row>
    <row r="352" spans="2:19" ht="13.5" hidden="1" thickBot="1">
      <c r="B352" s="609" t="s">
        <v>168</v>
      </c>
      <c r="C352" s="610"/>
      <c r="D352" s="648" t="s">
        <v>270</v>
      </c>
      <c r="E352" s="602"/>
      <c r="F352" s="737">
        <v>0.2</v>
      </c>
      <c r="G352" s="741">
        <v>0.94499999999999995</v>
      </c>
      <c r="H352" s="740">
        <f>IF(F352=0,0,IF(F352&lt;=30,(0.7*F352+1.45)*G352,((0.7*30+1.45)+0.58*(F352-30))*G352))</f>
        <v>1.5025499999999998</v>
      </c>
      <c r="I352" s="387"/>
      <c r="J352" s="387"/>
      <c r="K352" s="606">
        <f t="shared" si="70"/>
        <v>0</v>
      </c>
      <c r="L352" s="716" t="s">
        <v>777</v>
      </c>
      <c r="M352" s="782"/>
      <c r="N352" s="430"/>
      <c r="O352" s="287">
        <f t="shared" si="64"/>
        <v>0</v>
      </c>
      <c r="P352" s="391">
        <f t="shared" si="65"/>
        <v>0</v>
      </c>
      <c r="Q352" s="288"/>
      <c r="R352" s="315" t="str">
        <f>IF(P349&gt;0,"xy","")</f>
        <v/>
      </c>
      <c r="S352" s="385" t="str">
        <f t="shared" si="67"/>
        <v/>
      </c>
    </row>
    <row r="353" spans="2:19" ht="13.5" hidden="1" thickBot="1">
      <c r="B353" s="609" t="s">
        <v>168</v>
      </c>
      <c r="C353" s="610"/>
      <c r="D353" s="648" t="s">
        <v>271</v>
      </c>
      <c r="E353" s="602"/>
      <c r="F353" s="737">
        <v>20</v>
      </c>
      <c r="G353" s="741">
        <v>1</v>
      </c>
      <c r="H353" s="740">
        <f>IF(F353&lt;=30,(0.7*F353+3.5)*G353,((0.7*30+3.5)+0.58*(F353-30))*G353)</f>
        <v>17.5</v>
      </c>
      <c r="I353" s="387"/>
      <c r="J353" s="387"/>
      <c r="K353" s="606">
        <f t="shared" si="70"/>
        <v>0</v>
      </c>
      <c r="L353" s="716" t="s">
        <v>777</v>
      </c>
      <c r="M353" s="782"/>
      <c r="N353" s="430"/>
      <c r="O353" s="287">
        <f t="shared" si="64"/>
        <v>0</v>
      </c>
      <c r="P353" s="391">
        <f t="shared" si="65"/>
        <v>0</v>
      </c>
      <c r="Q353" s="288"/>
      <c r="R353" s="243" t="str">
        <f>IF(P349&gt;0,"xy","")</f>
        <v/>
      </c>
      <c r="S353" s="385" t="str">
        <f t="shared" si="67"/>
        <v/>
      </c>
    </row>
    <row r="354" spans="2:19" ht="13.5" hidden="1" thickBot="1">
      <c r="B354" s="633" t="s">
        <v>1952</v>
      </c>
      <c r="C354" s="718" t="s">
        <v>241</v>
      </c>
      <c r="D354" s="646" t="s">
        <v>823</v>
      </c>
      <c r="E354" s="704"/>
      <c r="F354" s="748">
        <v>500</v>
      </c>
      <c r="G354" s="743">
        <v>1</v>
      </c>
      <c r="H354" s="744">
        <f>(0.58*F354+28.61)*G354</f>
        <v>318.61</v>
      </c>
      <c r="I354" s="733">
        <v>5118.8900000000003</v>
      </c>
      <c r="J354" s="733">
        <f>IF(ISBLANK(I354),"",I354*(1+$F$9)/(1+$F$10))+H354</f>
        <v>5181.4500428512565</v>
      </c>
      <c r="K354" s="658">
        <f t="shared" si="70"/>
        <v>6287.69</v>
      </c>
      <c r="L354" s="705" t="s">
        <v>20</v>
      </c>
      <c r="M354" s="777">
        <f>ROUND(M349*G349,2)</f>
        <v>0</v>
      </c>
      <c r="N354" s="783"/>
      <c r="O354" s="436">
        <f t="shared" ref="O354:O446" si="102">IF(ISBLANK(M354),0,ROUND(K354*M354,2))</f>
        <v>0</v>
      </c>
      <c r="P354" s="437">
        <f t="shared" ref="P354:P446" si="103">IF(ISBLANK(N354),0,ROUND(M354*N354,2))</f>
        <v>0</v>
      </c>
      <c r="Q354" s="288"/>
      <c r="R354" s="315" t="str">
        <f>IF(P174&gt;0,"xy","")</f>
        <v/>
      </c>
      <c r="S354" s="385" t="str">
        <f t="shared" si="67"/>
        <v/>
      </c>
    </row>
    <row r="355" spans="2:19" ht="13.5" hidden="1" thickBot="1">
      <c r="B355" s="632" t="s">
        <v>1978</v>
      </c>
      <c r="C355" s="714" t="s">
        <v>212</v>
      </c>
      <c r="D355" s="717" t="s">
        <v>1030</v>
      </c>
      <c r="E355" s="701"/>
      <c r="F355" s="734" t="s">
        <v>829</v>
      </c>
      <c r="G355" s="735">
        <v>0.04</v>
      </c>
      <c r="H355" s="736">
        <f>SUM(H356:H359)</f>
        <v>22.257249999999999</v>
      </c>
      <c r="I355" s="732">
        <v>120.3</v>
      </c>
      <c r="J355" s="732">
        <f t="shared" ref="J355:J385" si="104">IF(ISBLANK(I355),"",SUM(H355:I355))</f>
        <v>142.55725000000001</v>
      </c>
      <c r="K355" s="621">
        <f t="shared" si="70"/>
        <v>172.99</v>
      </c>
      <c r="L355" s="702" t="s">
        <v>20</v>
      </c>
      <c r="M355" s="780"/>
      <c r="N355" s="781"/>
      <c r="O355" s="434">
        <f t="shared" si="102"/>
        <v>0</v>
      </c>
      <c r="P355" s="435">
        <f t="shared" si="103"/>
        <v>0</v>
      </c>
      <c r="Q355" s="288"/>
      <c r="R355" s="243"/>
      <c r="S355" s="385" t="str">
        <f t="shared" si="67"/>
        <v/>
      </c>
    </row>
    <row r="356" spans="2:19" ht="13.5" hidden="1" thickBot="1">
      <c r="B356" s="609" t="s">
        <v>168</v>
      </c>
      <c r="C356" s="610"/>
      <c r="D356" s="648" t="s">
        <v>256</v>
      </c>
      <c r="E356" s="602"/>
      <c r="F356" s="737">
        <v>180</v>
      </c>
      <c r="G356" s="741">
        <v>0</v>
      </c>
      <c r="H356" s="739">
        <f t="shared" ref="H356" si="105">IF(F356&lt;=30,(0.7*F356+1.45)*G356,((0.7*30+1.45)+0.58*(F356-30))*G356)</f>
        <v>0</v>
      </c>
      <c r="I356" s="387"/>
      <c r="J356" s="387" t="str">
        <f t="shared" ref="J356" si="106">IF(ISBLANK(I356),"",SUM(H356:I356))</f>
        <v/>
      </c>
      <c r="K356" s="606">
        <f t="shared" si="70"/>
        <v>0</v>
      </c>
      <c r="L356" s="716" t="s">
        <v>777</v>
      </c>
      <c r="M356" s="782"/>
      <c r="N356" s="430"/>
      <c r="O356" s="287">
        <f t="shared" si="102"/>
        <v>0</v>
      </c>
      <c r="P356" s="391">
        <f t="shared" si="103"/>
        <v>0</v>
      </c>
      <c r="Q356" s="288"/>
      <c r="R356" s="315" t="str">
        <f>IF(P355&gt;0,"xy","")</f>
        <v/>
      </c>
      <c r="S356" s="385" t="str">
        <f t="shared" si="67"/>
        <v/>
      </c>
    </row>
    <row r="357" spans="2:19" ht="13.5" hidden="1" thickBot="1">
      <c r="B357" s="609" t="s">
        <v>168</v>
      </c>
      <c r="C357" s="610"/>
      <c r="D357" s="648" t="s">
        <v>257</v>
      </c>
      <c r="E357" s="602"/>
      <c r="F357" s="737">
        <v>500</v>
      </c>
      <c r="G357" s="741">
        <v>1.4999999999999999E-2</v>
      </c>
      <c r="H357" s="740">
        <f>IF(F357&lt;=30,(0.51*F357+4.28)*G357,((0.51*30+4.28)+0.42*(F357-30))*G357)</f>
        <v>3.2547000000000001</v>
      </c>
      <c r="I357" s="387"/>
      <c r="J357" s="387"/>
      <c r="K357" s="606">
        <f t="shared" si="70"/>
        <v>0</v>
      </c>
      <c r="L357" s="716" t="s">
        <v>777</v>
      </c>
      <c r="M357" s="782"/>
      <c r="N357" s="430"/>
      <c r="O357" s="287">
        <f t="shared" si="102"/>
        <v>0</v>
      </c>
      <c r="P357" s="391">
        <f t="shared" si="103"/>
        <v>0</v>
      </c>
      <c r="Q357" s="288"/>
      <c r="R357" s="315" t="str">
        <f>IF(P355&gt;0,"xy","")</f>
        <v/>
      </c>
      <c r="S357" s="385" t="str">
        <f t="shared" si="67"/>
        <v/>
      </c>
    </row>
    <row r="358" spans="2:19" ht="13.5" hidden="1" thickBot="1">
      <c r="B358" s="609" t="s">
        <v>168</v>
      </c>
      <c r="C358" s="610"/>
      <c r="D358" s="648" t="s">
        <v>270</v>
      </c>
      <c r="E358" s="602"/>
      <c r="F358" s="737">
        <v>0.2</v>
      </c>
      <c r="G358" s="741">
        <v>0.94499999999999995</v>
      </c>
      <c r="H358" s="740">
        <f>IF(F358=0,0,IF(F358&lt;=30,(0.7*F358+1.45)*G358,((0.7*30+1.45)+0.58*(F358-30))*G358))</f>
        <v>1.5025499999999998</v>
      </c>
      <c r="I358" s="387"/>
      <c r="J358" s="387"/>
      <c r="K358" s="606">
        <f t="shared" si="70"/>
        <v>0</v>
      </c>
      <c r="L358" s="716" t="s">
        <v>777</v>
      </c>
      <c r="M358" s="782"/>
      <c r="N358" s="430"/>
      <c r="O358" s="287">
        <f t="shared" si="102"/>
        <v>0</v>
      </c>
      <c r="P358" s="391">
        <f t="shared" si="103"/>
        <v>0</v>
      </c>
      <c r="Q358" s="288"/>
      <c r="R358" s="315" t="str">
        <f>IF(P355&gt;0,"xy","")</f>
        <v/>
      </c>
      <c r="S358" s="385" t="str">
        <f t="shared" si="67"/>
        <v/>
      </c>
    </row>
    <row r="359" spans="2:19" ht="13.5" hidden="1" thickBot="1">
      <c r="B359" s="609" t="s">
        <v>168</v>
      </c>
      <c r="C359" s="610"/>
      <c r="D359" s="648" t="s">
        <v>271</v>
      </c>
      <c r="E359" s="602"/>
      <c r="F359" s="737">
        <v>20</v>
      </c>
      <c r="G359" s="741">
        <f>SUM(G355:G358)</f>
        <v>1</v>
      </c>
      <c r="H359" s="740">
        <f>IF(F359&lt;=30,(0.7*F359+3.5)*G359,((0.7*30+3.5)+0.58*(F359-30))*G359)</f>
        <v>17.5</v>
      </c>
      <c r="I359" s="387"/>
      <c r="J359" s="387"/>
      <c r="K359" s="606">
        <f t="shared" si="70"/>
        <v>0</v>
      </c>
      <c r="L359" s="716" t="s">
        <v>777</v>
      </c>
      <c r="M359" s="782"/>
      <c r="N359" s="430"/>
      <c r="O359" s="287">
        <f t="shared" si="102"/>
        <v>0</v>
      </c>
      <c r="P359" s="391">
        <f t="shared" si="103"/>
        <v>0</v>
      </c>
      <c r="Q359" s="288"/>
      <c r="R359" s="243" t="str">
        <f>IF(P355&gt;0,"xy","")</f>
        <v/>
      </c>
      <c r="S359" s="385" t="str">
        <f t="shared" ref="S359:S422" si="107">IF(R359="x","x",IF(R359="y","x",IF(R359="xy","x",IF(P359&gt;0,"x",""))))</f>
        <v/>
      </c>
    </row>
    <row r="360" spans="2:19" ht="13.5" hidden="1" thickBot="1">
      <c r="B360" s="633" t="s">
        <v>1953</v>
      </c>
      <c r="C360" s="715" t="s">
        <v>241</v>
      </c>
      <c r="D360" s="646" t="s">
        <v>824</v>
      </c>
      <c r="E360" s="704"/>
      <c r="F360" s="748">
        <v>500</v>
      </c>
      <c r="G360" s="743">
        <v>1</v>
      </c>
      <c r="H360" s="744">
        <f>(0.58*F360+28.61)*G360</f>
        <v>318.61</v>
      </c>
      <c r="I360" s="733">
        <v>5118.8900000000003</v>
      </c>
      <c r="J360" s="733">
        <f>IF(ISBLANK(I360),"",I360*(1+$F$9)/(1+$F$10))+H360</f>
        <v>5181.4500428512565</v>
      </c>
      <c r="K360" s="658">
        <f t="shared" si="70"/>
        <v>6287.69</v>
      </c>
      <c r="L360" s="705" t="s">
        <v>20</v>
      </c>
      <c r="M360" s="777">
        <f>ROUND(M355*G355,2)</f>
        <v>0</v>
      </c>
      <c r="N360" s="783"/>
      <c r="O360" s="436">
        <f t="shared" si="102"/>
        <v>0</v>
      </c>
      <c r="P360" s="437">
        <f t="shared" si="103"/>
        <v>0</v>
      </c>
      <c r="Q360" s="288"/>
      <c r="R360" s="315" t="str">
        <f>IF(P180&gt;0,"xy","")</f>
        <v/>
      </c>
      <c r="S360" s="385" t="str">
        <f t="shared" si="107"/>
        <v/>
      </c>
    </row>
    <row r="361" spans="2:19" ht="16.5" hidden="1" thickBot="1">
      <c r="B361" s="632">
        <v>570140</v>
      </c>
      <c r="C361" s="714" t="s">
        <v>212</v>
      </c>
      <c r="D361" s="719" t="s">
        <v>845</v>
      </c>
      <c r="E361" s="701"/>
      <c r="F361" s="734" t="s">
        <v>829</v>
      </c>
      <c r="G361" s="735">
        <v>0.05</v>
      </c>
      <c r="H361" s="736">
        <f>SUM(H362:H365)</f>
        <v>33.14593</v>
      </c>
      <c r="I361" s="732">
        <v>212.23</v>
      </c>
      <c r="J361" s="732">
        <f t="shared" ref="J361" si="108">IF(ISBLANK(I361),"",SUM(H361:I361))</f>
        <v>245.37592999999998</v>
      </c>
      <c r="K361" s="621">
        <f t="shared" si="70"/>
        <v>297.76</v>
      </c>
      <c r="L361" s="702" t="s">
        <v>20</v>
      </c>
      <c r="M361" s="780"/>
      <c r="N361" s="781"/>
      <c r="O361" s="434">
        <f t="shared" si="102"/>
        <v>0</v>
      </c>
      <c r="P361" s="435">
        <f t="shared" si="103"/>
        <v>0</v>
      </c>
      <c r="Q361" s="288"/>
      <c r="R361" s="243"/>
      <c r="S361" s="385" t="str">
        <f t="shared" si="107"/>
        <v/>
      </c>
    </row>
    <row r="362" spans="2:19" ht="13.5" hidden="1" thickBot="1">
      <c r="B362" s="609" t="s">
        <v>168</v>
      </c>
      <c r="C362" s="610"/>
      <c r="D362" s="648" t="s">
        <v>256</v>
      </c>
      <c r="E362" s="602"/>
      <c r="F362" s="737">
        <v>180</v>
      </c>
      <c r="G362" s="741">
        <v>0.1007</v>
      </c>
      <c r="H362" s="739">
        <f t="shared" ref="H362" si="109">IF(F362&lt;=30,(0.7*F362+1.45)*G362,((0.7*30+1.45)+0.58*(F362-30))*G362)</f>
        <v>11.021615000000001</v>
      </c>
      <c r="I362" s="387"/>
      <c r="J362" s="387"/>
      <c r="K362" s="606">
        <f t="shared" si="70"/>
        <v>0</v>
      </c>
      <c r="L362" s="716" t="s">
        <v>777</v>
      </c>
      <c r="M362" s="782"/>
      <c r="N362" s="430"/>
      <c r="O362" s="287">
        <f t="shared" si="102"/>
        <v>0</v>
      </c>
      <c r="P362" s="391">
        <f t="shared" si="103"/>
        <v>0</v>
      </c>
      <c r="Q362" s="288"/>
      <c r="R362" s="315" t="str">
        <f>IF(P361&gt;0,"xy","")</f>
        <v/>
      </c>
      <c r="S362" s="385" t="str">
        <f t="shared" si="107"/>
        <v/>
      </c>
    </row>
    <row r="363" spans="2:19" ht="13.5" hidden="1" thickBot="1">
      <c r="B363" s="609" t="s">
        <v>168</v>
      </c>
      <c r="C363" s="610"/>
      <c r="D363" s="648" t="s">
        <v>257</v>
      </c>
      <c r="E363" s="602"/>
      <c r="F363" s="737">
        <v>500</v>
      </c>
      <c r="G363" s="741">
        <v>1.52E-2</v>
      </c>
      <c r="H363" s="740">
        <f>IF(F363&lt;=30,(0.51*F363+4.28)*G363,((0.51*30+4.28)+0.42*(F363-30))*G363)</f>
        <v>3.2980960000000001</v>
      </c>
      <c r="I363" s="387"/>
      <c r="J363" s="387"/>
      <c r="K363" s="606">
        <f t="shared" si="70"/>
        <v>0</v>
      </c>
      <c r="L363" s="716" t="s">
        <v>777</v>
      </c>
      <c r="M363" s="782"/>
      <c r="N363" s="430"/>
      <c r="O363" s="287">
        <f t="shared" si="102"/>
        <v>0</v>
      </c>
      <c r="P363" s="391">
        <f t="shared" si="103"/>
        <v>0</v>
      </c>
      <c r="Q363" s="288"/>
      <c r="R363" s="315" t="str">
        <f>IF(P361&gt;0,"xy","")</f>
        <v/>
      </c>
      <c r="S363" s="385" t="str">
        <f t="shared" si="107"/>
        <v/>
      </c>
    </row>
    <row r="364" spans="2:19" ht="13.5" hidden="1" thickBot="1">
      <c r="B364" s="609" t="s">
        <v>168</v>
      </c>
      <c r="C364" s="610"/>
      <c r="D364" s="648" t="s">
        <v>270</v>
      </c>
      <c r="E364" s="602"/>
      <c r="F364" s="737">
        <v>0.2</v>
      </c>
      <c r="G364" s="741">
        <v>0.83409999999999995</v>
      </c>
      <c r="H364" s="740">
        <f>IF(F364=0,0,IF(F364&lt;=30,(0.7*F364+1.45)*G364,((0.7*30+1.45)+0.58*(F364-30))*G364))</f>
        <v>1.3262189999999998</v>
      </c>
      <c r="I364" s="387"/>
      <c r="J364" s="387"/>
      <c r="K364" s="606">
        <f t="shared" ref="K364:K446" si="110">IF(ISBLANK(I364),0,ROUND(J364*(1+$F$10)*(1+$F$11*E364),2))</f>
        <v>0</v>
      </c>
      <c r="L364" s="716" t="s">
        <v>777</v>
      </c>
      <c r="M364" s="782"/>
      <c r="N364" s="430"/>
      <c r="O364" s="287">
        <f t="shared" si="102"/>
        <v>0</v>
      </c>
      <c r="P364" s="391">
        <f t="shared" si="103"/>
        <v>0</v>
      </c>
      <c r="Q364" s="288"/>
      <c r="R364" s="315" t="str">
        <f>IF(P361&gt;0,"xy","")</f>
        <v/>
      </c>
      <c r="S364" s="385" t="str">
        <f t="shared" si="107"/>
        <v/>
      </c>
    </row>
    <row r="365" spans="2:19" ht="13.5" hidden="1" thickBot="1">
      <c r="B365" s="609" t="s">
        <v>168</v>
      </c>
      <c r="C365" s="610"/>
      <c r="D365" s="648" t="s">
        <v>271</v>
      </c>
      <c r="E365" s="602"/>
      <c r="F365" s="737">
        <v>20</v>
      </c>
      <c r="G365" s="741">
        <f>SUM(G361:G364)</f>
        <v>1</v>
      </c>
      <c r="H365" s="740">
        <f>IF(F365&lt;=30,(0.7*F365+3.5)*G365,((0.7*30+3.5)+0.58*(F365-30))*G365)</f>
        <v>17.5</v>
      </c>
      <c r="I365" s="387"/>
      <c r="J365" s="387"/>
      <c r="K365" s="606">
        <f t="shared" si="110"/>
        <v>0</v>
      </c>
      <c r="L365" s="716" t="s">
        <v>777</v>
      </c>
      <c r="M365" s="782"/>
      <c r="N365" s="430"/>
      <c r="O365" s="287">
        <f t="shared" si="102"/>
        <v>0</v>
      </c>
      <c r="P365" s="391">
        <f t="shared" si="103"/>
        <v>0</v>
      </c>
      <c r="Q365" s="288"/>
      <c r="R365" s="243" t="str">
        <f>IF(P361&gt;0,"xy","")</f>
        <v/>
      </c>
      <c r="S365" s="385" t="str">
        <f t="shared" si="107"/>
        <v/>
      </c>
    </row>
    <row r="366" spans="2:19" ht="13.5" hidden="1" thickBot="1">
      <c r="B366" s="633" t="s">
        <v>1954</v>
      </c>
      <c r="C366" s="715" t="s">
        <v>241</v>
      </c>
      <c r="D366" s="646" t="s">
        <v>825</v>
      </c>
      <c r="E366" s="704"/>
      <c r="F366" s="742">
        <v>500</v>
      </c>
      <c r="G366" s="743">
        <v>1</v>
      </c>
      <c r="H366" s="744">
        <f>(0.58*F366+28.61)*G366</f>
        <v>318.61</v>
      </c>
      <c r="I366" s="733">
        <v>5118.8900000000003</v>
      </c>
      <c r="J366" s="733">
        <f>IF(ISBLANK(I366),"",I366*(1+$F$9)/(1+$F$10))+H366</f>
        <v>5181.4500428512565</v>
      </c>
      <c r="K366" s="658">
        <f t="shared" si="110"/>
        <v>6287.69</v>
      </c>
      <c r="L366" s="705" t="s">
        <v>20</v>
      </c>
      <c r="M366" s="777">
        <f>ROUND(M361*G361,2)</f>
        <v>0</v>
      </c>
      <c r="N366" s="783"/>
      <c r="O366" s="436">
        <f t="shared" si="102"/>
        <v>0</v>
      </c>
      <c r="P366" s="437">
        <f t="shared" si="103"/>
        <v>0</v>
      </c>
      <c r="Q366" s="288"/>
      <c r="R366" s="315" t="str">
        <f>IF(P186&gt;0,"xy","")</f>
        <v/>
      </c>
      <c r="S366" s="385" t="str">
        <f t="shared" si="107"/>
        <v/>
      </c>
    </row>
    <row r="367" spans="2:19" ht="16.5" hidden="1" thickBot="1">
      <c r="B367" s="632">
        <v>570170</v>
      </c>
      <c r="C367" s="714" t="s">
        <v>212</v>
      </c>
      <c r="D367" s="719" t="s">
        <v>846</v>
      </c>
      <c r="E367" s="701"/>
      <c r="F367" s="734" t="s">
        <v>829</v>
      </c>
      <c r="G367" s="735">
        <v>0.05</v>
      </c>
      <c r="H367" s="736">
        <f>SUM(H368:H371)</f>
        <v>33.14593</v>
      </c>
      <c r="I367" s="732">
        <v>159.44999999999999</v>
      </c>
      <c r="J367" s="732">
        <f t="shared" ref="J367" si="111">IF(ISBLANK(I367),"",SUM(H367:I367))</f>
        <v>192.59592999999998</v>
      </c>
      <c r="K367" s="621">
        <f t="shared" si="110"/>
        <v>233.72</v>
      </c>
      <c r="L367" s="702" t="s">
        <v>20</v>
      </c>
      <c r="M367" s="780"/>
      <c r="N367" s="781"/>
      <c r="O367" s="434">
        <f t="shared" si="102"/>
        <v>0</v>
      </c>
      <c r="P367" s="435">
        <f t="shared" si="103"/>
        <v>0</v>
      </c>
      <c r="Q367" s="288"/>
      <c r="R367" s="243"/>
      <c r="S367" s="385" t="str">
        <f t="shared" si="107"/>
        <v/>
      </c>
    </row>
    <row r="368" spans="2:19" ht="13.5" hidden="1" thickBot="1">
      <c r="B368" s="609" t="s">
        <v>168</v>
      </c>
      <c r="C368" s="610"/>
      <c r="D368" s="648" t="s">
        <v>256</v>
      </c>
      <c r="E368" s="602"/>
      <c r="F368" s="737">
        <v>180</v>
      </c>
      <c r="G368" s="741">
        <v>0.1007</v>
      </c>
      <c r="H368" s="739">
        <f t="shared" ref="H368" si="112">IF(F368&lt;=30,(0.7*F368+1.45)*G368,((0.7*30+1.45)+0.58*(F368-30))*G368)</f>
        <v>11.021615000000001</v>
      </c>
      <c r="I368" s="387"/>
      <c r="J368" s="387"/>
      <c r="K368" s="606">
        <f t="shared" si="110"/>
        <v>0</v>
      </c>
      <c r="L368" s="607" t="s">
        <v>777</v>
      </c>
      <c r="M368" s="782"/>
      <c r="N368" s="430"/>
      <c r="O368" s="287">
        <f t="shared" si="102"/>
        <v>0</v>
      </c>
      <c r="P368" s="391">
        <f t="shared" si="103"/>
        <v>0</v>
      </c>
      <c r="Q368" s="288"/>
      <c r="R368" s="315" t="str">
        <f>IF(P367&gt;0,"xy","")</f>
        <v/>
      </c>
      <c r="S368" s="385" t="str">
        <f t="shared" si="107"/>
        <v/>
      </c>
    </row>
    <row r="369" spans="2:19" ht="13.5" hidden="1" thickBot="1">
      <c r="B369" s="609" t="s">
        <v>168</v>
      </c>
      <c r="C369" s="610"/>
      <c r="D369" s="648" t="s">
        <v>257</v>
      </c>
      <c r="E369" s="602"/>
      <c r="F369" s="737">
        <v>500</v>
      </c>
      <c r="G369" s="741">
        <v>1.52E-2</v>
      </c>
      <c r="H369" s="740">
        <f>IF(F369&lt;=30,(0.51*F369+4.28)*G369,((0.51*30+4.28)+0.42*(F369-30))*G369)</f>
        <v>3.2980960000000001</v>
      </c>
      <c r="I369" s="387"/>
      <c r="J369" s="387"/>
      <c r="K369" s="606">
        <f t="shared" si="110"/>
        <v>0</v>
      </c>
      <c r="L369" s="607" t="s">
        <v>777</v>
      </c>
      <c r="M369" s="782"/>
      <c r="N369" s="430"/>
      <c r="O369" s="287">
        <f t="shared" si="102"/>
        <v>0</v>
      </c>
      <c r="P369" s="391">
        <f t="shared" si="103"/>
        <v>0</v>
      </c>
      <c r="Q369" s="288"/>
      <c r="R369" s="315" t="str">
        <f>IF(P367&gt;0,"xy","")</f>
        <v/>
      </c>
      <c r="S369" s="385" t="str">
        <f t="shared" si="107"/>
        <v/>
      </c>
    </row>
    <row r="370" spans="2:19" ht="13.5" hidden="1" thickBot="1">
      <c r="B370" s="609" t="s">
        <v>168</v>
      </c>
      <c r="C370" s="610"/>
      <c r="D370" s="648" t="s">
        <v>270</v>
      </c>
      <c r="E370" s="602"/>
      <c r="F370" s="737">
        <v>0.2</v>
      </c>
      <c r="G370" s="741">
        <v>0.83409999999999995</v>
      </c>
      <c r="H370" s="740">
        <f>IF(F370=0,0,IF(F370&lt;=30,(0.7*F370+1.45)*G370,((0.7*30+1.45)+0.58*(F370-30))*G370))</f>
        <v>1.3262189999999998</v>
      </c>
      <c r="I370" s="387"/>
      <c r="J370" s="387"/>
      <c r="K370" s="606">
        <f t="shared" si="110"/>
        <v>0</v>
      </c>
      <c r="L370" s="607" t="s">
        <v>777</v>
      </c>
      <c r="M370" s="782"/>
      <c r="N370" s="430"/>
      <c r="O370" s="287">
        <f t="shared" si="102"/>
        <v>0</v>
      </c>
      <c r="P370" s="391">
        <f t="shared" si="103"/>
        <v>0</v>
      </c>
      <c r="Q370" s="288"/>
      <c r="R370" s="315" t="str">
        <f>IF(P367&gt;0,"xy","")</f>
        <v/>
      </c>
      <c r="S370" s="385" t="str">
        <f t="shared" si="107"/>
        <v/>
      </c>
    </row>
    <row r="371" spans="2:19" ht="13.5" hidden="1" thickBot="1">
      <c r="B371" s="609" t="s">
        <v>168</v>
      </c>
      <c r="C371" s="610"/>
      <c r="D371" s="648" t="s">
        <v>271</v>
      </c>
      <c r="E371" s="602"/>
      <c r="F371" s="737">
        <v>20</v>
      </c>
      <c r="G371" s="741">
        <f>SUM(G367:G370)</f>
        <v>1</v>
      </c>
      <c r="H371" s="740">
        <f>IF(F371&lt;=30,(0.7*F371+3.5)*G371,((0.7*30+3.5)+0.58*(F371-30))*G371)</f>
        <v>17.5</v>
      </c>
      <c r="I371" s="387"/>
      <c r="J371" s="387"/>
      <c r="K371" s="606">
        <f t="shared" si="110"/>
        <v>0</v>
      </c>
      <c r="L371" s="607" t="s">
        <v>777</v>
      </c>
      <c r="M371" s="782"/>
      <c r="N371" s="430"/>
      <c r="O371" s="287">
        <f t="shared" si="102"/>
        <v>0</v>
      </c>
      <c r="P371" s="391">
        <f t="shared" si="103"/>
        <v>0</v>
      </c>
      <c r="Q371" s="288"/>
      <c r="R371" s="243" t="str">
        <f>IF(P367&gt;0,"xy","")</f>
        <v/>
      </c>
      <c r="S371" s="385" t="str">
        <f t="shared" si="107"/>
        <v/>
      </c>
    </row>
    <row r="372" spans="2:19" ht="13.5" hidden="1" thickBot="1">
      <c r="B372" s="633" t="s">
        <v>1955</v>
      </c>
      <c r="C372" s="715" t="s">
        <v>241</v>
      </c>
      <c r="D372" s="646" t="s">
        <v>825</v>
      </c>
      <c r="E372" s="704"/>
      <c r="F372" s="742">
        <v>500</v>
      </c>
      <c r="G372" s="743">
        <v>1</v>
      </c>
      <c r="H372" s="744">
        <f>(0.58*F372+28.61)*G372</f>
        <v>318.61</v>
      </c>
      <c r="I372" s="733">
        <v>5118.8900000000003</v>
      </c>
      <c r="J372" s="733">
        <f>IF(ISBLANK(I372),"",I372*(1+$F$9)/(1+$F$10))+H372</f>
        <v>5181.4500428512565</v>
      </c>
      <c r="K372" s="658">
        <f t="shared" si="110"/>
        <v>6287.69</v>
      </c>
      <c r="L372" s="705" t="s">
        <v>20</v>
      </c>
      <c r="M372" s="777">
        <f>ROUND(M367*G367,2)</f>
        <v>0</v>
      </c>
      <c r="N372" s="783"/>
      <c r="O372" s="436">
        <f t="shared" si="102"/>
        <v>0</v>
      </c>
      <c r="P372" s="437">
        <f t="shared" si="103"/>
        <v>0</v>
      </c>
      <c r="Q372" s="288"/>
      <c r="R372" s="315" t="str">
        <f>IF(P192&gt;0,"xy","")</f>
        <v/>
      </c>
      <c r="S372" s="385" t="str">
        <f t="shared" si="107"/>
        <v/>
      </c>
    </row>
    <row r="373" spans="2:19" ht="16.5" hidden="1" thickBot="1">
      <c r="B373" s="632">
        <v>570200</v>
      </c>
      <c r="C373" s="714" t="s">
        <v>212</v>
      </c>
      <c r="D373" s="645" t="s">
        <v>835</v>
      </c>
      <c r="E373" s="701"/>
      <c r="F373" s="734" t="s">
        <v>829</v>
      </c>
      <c r="G373" s="735">
        <v>4.4999999999999998E-2</v>
      </c>
      <c r="H373" s="736">
        <f>SUM(H374:H377)</f>
        <v>20.63635</v>
      </c>
      <c r="I373" s="732">
        <v>137.49</v>
      </c>
      <c r="J373" s="732">
        <f t="shared" ref="J373" si="113">IF(ISBLANK(I373),"",SUM(H373:I373))</f>
        <v>158.12635</v>
      </c>
      <c r="K373" s="621">
        <f t="shared" si="110"/>
        <v>191.89</v>
      </c>
      <c r="L373" s="702" t="s">
        <v>20</v>
      </c>
      <c r="M373" s="780"/>
      <c r="N373" s="781"/>
      <c r="O373" s="434">
        <f t="shared" si="102"/>
        <v>0</v>
      </c>
      <c r="P373" s="435">
        <f t="shared" si="103"/>
        <v>0</v>
      </c>
      <c r="Q373" s="288"/>
      <c r="R373" s="243"/>
      <c r="S373" s="385" t="str">
        <f t="shared" si="107"/>
        <v/>
      </c>
    </row>
    <row r="374" spans="2:19" ht="13.5" hidden="1" thickBot="1">
      <c r="B374" s="609" t="s">
        <v>168</v>
      </c>
      <c r="C374" s="610"/>
      <c r="D374" s="648" t="s">
        <v>256</v>
      </c>
      <c r="E374" s="602"/>
      <c r="F374" s="737">
        <v>180</v>
      </c>
      <c r="G374" s="741">
        <v>1.4999999999999999E-2</v>
      </c>
      <c r="H374" s="739">
        <f t="shared" ref="H374" si="114">IF(F374&lt;=30,(0.7*F374+1.45)*G374,((0.7*30+1.45)+0.58*(F374-30))*G374)</f>
        <v>1.64175</v>
      </c>
      <c r="I374" s="387"/>
      <c r="J374" s="387"/>
      <c r="K374" s="606">
        <f t="shared" si="110"/>
        <v>0</v>
      </c>
      <c r="L374" s="607" t="s">
        <v>777</v>
      </c>
      <c r="M374" s="782"/>
      <c r="N374" s="430"/>
      <c r="O374" s="287">
        <f t="shared" si="102"/>
        <v>0</v>
      </c>
      <c r="P374" s="391">
        <f t="shared" si="103"/>
        <v>0</v>
      </c>
      <c r="Q374" s="288"/>
      <c r="R374" s="315" t="str">
        <f>IF(P373&gt;0,"xy","")</f>
        <v/>
      </c>
      <c r="S374" s="385" t="str">
        <f t="shared" si="107"/>
        <v/>
      </c>
    </row>
    <row r="375" spans="2:19" ht="13.5" hidden="1" thickBot="1">
      <c r="B375" s="609" t="s">
        <v>168</v>
      </c>
      <c r="C375" s="610"/>
      <c r="D375" s="648" t="s">
        <v>257</v>
      </c>
      <c r="E375" s="602"/>
      <c r="F375" s="737">
        <v>500</v>
      </c>
      <c r="G375" s="741"/>
      <c r="H375" s="740">
        <f>IF(F375&lt;=30,(0.51*F375+4.28)*G375,((0.51*30+4.28)+0.42*(F375-30))*G375)</f>
        <v>0</v>
      </c>
      <c r="I375" s="387"/>
      <c r="J375" s="387" t="str">
        <f t="shared" ref="J375" si="115">IF(ISBLANK(I375),"",SUM(H375:I375))</f>
        <v/>
      </c>
      <c r="K375" s="606">
        <f t="shared" si="110"/>
        <v>0</v>
      </c>
      <c r="L375" s="607" t="s">
        <v>777</v>
      </c>
      <c r="M375" s="782"/>
      <c r="N375" s="430"/>
      <c r="O375" s="287">
        <f t="shared" si="102"/>
        <v>0</v>
      </c>
      <c r="P375" s="391">
        <f t="shared" si="103"/>
        <v>0</v>
      </c>
      <c r="Q375" s="288"/>
      <c r="R375" s="315" t="str">
        <f>IF(P373&gt;0,"xy","")</f>
        <v/>
      </c>
      <c r="S375" s="385" t="str">
        <f t="shared" si="107"/>
        <v/>
      </c>
    </row>
    <row r="376" spans="2:19" ht="13.5" hidden="1" thickBot="1">
      <c r="B376" s="609" t="s">
        <v>168</v>
      </c>
      <c r="C376" s="610"/>
      <c r="D376" s="648" t="s">
        <v>270</v>
      </c>
      <c r="E376" s="602"/>
      <c r="F376" s="737">
        <v>0.2</v>
      </c>
      <c r="G376" s="741">
        <v>0.94</v>
      </c>
      <c r="H376" s="740">
        <f>IF(F376=0,0,IF(F376&lt;=30,(0.7*F376+1.45)*G376,((0.7*30+1.45)+0.58*(F376-30))*G376))</f>
        <v>1.4945999999999997</v>
      </c>
      <c r="I376" s="387"/>
      <c r="J376" s="387"/>
      <c r="K376" s="606">
        <f t="shared" si="110"/>
        <v>0</v>
      </c>
      <c r="L376" s="607" t="s">
        <v>777</v>
      </c>
      <c r="M376" s="782"/>
      <c r="N376" s="430"/>
      <c r="O376" s="287">
        <f t="shared" si="102"/>
        <v>0</v>
      </c>
      <c r="P376" s="391">
        <f t="shared" si="103"/>
        <v>0</v>
      </c>
      <c r="Q376" s="288"/>
      <c r="R376" s="315" t="str">
        <f>IF(P373&gt;0,"xy","")</f>
        <v/>
      </c>
      <c r="S376" s="385" t="str">
        <f t="shared" si="107"/>
        <v/>
      </c>
    </row>
    <row r="377" spans="2:19" ht="13.5" hidden="1" thickBot="1">
      <c r="B377" s="609" t="s">
        <v>168</v>
      </c>
      <c r="C377" s="610"/>
      <c r="D377" s="648" t="s">
        <v>271</v>
      </c>
      <c r="E377" s="602"/>
      <c r="F377" s="737">
        <v>20</v>
      </c>
      <c r="G377" s="741">
        <f>SUM(G373:G376)</f>
        <v>1</v>
      </c>
      <c r="H377" s="740">
        <f>IF(F377&lt;=30,(0.7*F377+3.5)*G377,((0.7*30+3.5)+0.58*(F377-30))*G377)</f>
        <v>17.5</v>
      </c>
      <c r="I377" s="387"/>
      <c r="J377" s="387"/>
      <c r="K377" s="606">
        <f t="shared" si="110"/>
        <v>0</v>
      </c>
      <c r="L377" s="607" t="s">
        <v>777</v>
      </c>
      <c r="M377" s="782"/>
      <c r="N377" s="430"/>
      <c r="O377" s="287">
        <f t="shared" si="102"/>
        <v>0</v>
      </c>
      <c r="P377" s="391">
        <f t="shared" si="103"/>
        <v>0</v>
      </c>
      <c r="Q377" s="288"/>
      <c r="R377" s="243" t="str">
        <f>IF(P373&gt;0,"xy","")</f>
        <v/>
      </c>
      <c r="S377" s="385" t="str">
        <f t="shared" si="107"/>
        <v/>
      </c>
    </row>
    <row r="378" spans="2:19" ht="13.5" hidden="1" thickBot="1">
      <c r="B378" s="633" t="s">
        <v>1956</v>
      </c>
      <c r="C378" s="715" t="s">
        <v>241</v>
      </c>
      <c r="D378" s="646" t="s">
        <v>825</v>
      </c>
      <c r="E378" s="704"/>
      <c r="F378" s="742">
        <v>500</v>
      </c>
      <c r="G378" s="743">
        <v>1</v>
      </c>
      <c r="H378" s="744">
        <f>(0.58*F378+28.61)*G378</f>
        <v>318.61</v>
      </c>
      <c r="I378" s="733">
        <v>5118.8900000000003</v>
      </c>
      <c r="J378" s="733">
        <f>IF(ISBLANK(I378),"",I378*(1+$F$9)/(1+$F$10))+H378</f>
        <v>5181.4500428512565</v>
      </c>
      <c r="K378" s="658">
        <f t="shared" si="110"/>
        <v>6287.69</v>
      </c>
      <c r="L378" s="705" t="s">
        <v>20</v>
      </c>
      <c r="M378" s="777">
        <f>ROUND(M373*G373,2)</f>
        <v>0</v>
      </c>
      <c r="N378" s="783"/>
      <c r="O378" s="436">
        <f t="shared" si="102"/>
        <v>0</v>
      </c>
      <c r="P378" s="437">
        <f t="shared" si="103"/>
        <v>0</v>
      </c>
      <c r="Q378" s="288"/>
      <c r="R378" s="315" t="str">
        <f>IF(P198&gt;0,"xy","")</f>
        <v/>
      </c>
      <c r="S378" s="385" t="str">
        <f t="shared" si="107"/>
        <v/>
      </c>
    </row>
    <row r="379" spans="2:19" ht="16.5" hidden="1" thickBot="1">
      <c r="B379" s="632">
        <v>570210</v>
      </c>
      <c r="C379" s="714" t="s">
        <v>212</v>
      </c>
      <c r="D379" s="645" t="s">
        <v>844</v>
      </c>
      <c r="E379" s="701"/>
      <c r="F379" s="734" t="s">
        <v>829</v>
      </c>
      <c r="G379" s="735">
        <v>4.4999999999999998E-2</v>
      </c>
      <c r="H379" s="736">
        <f>SUM(H380:H383)</f>
        <v>18.946480000000001</v>
      </c>
      <c r="I379" s="732">
        <v>122.54</v>
      </c>
      <c r="J379" s="732">
        <f t="shared" ref="J379" si="116">IF(ISBLANK(I379),"",SUM(H379:I379))</f>
        <v>141.48648</v>
      </c>
      <c r="K379" s="621">
        <f t="shared" si="110"/>
        <v>171.69</v>
      </c>
      <c r="L379" s="702" t="s">
        <v>20</v>
      </c>
      <c r="M379" s="780"/>
      <c r="N379" s="781"/>
      <c r="O379" s="434">
        <f t="shared" si="102"/>
        <v>0</v>
      </c>
      <c r="P379" s="435">
        <f t="shared" si="103"/>
        <v>0</v>
      </c>
      <c r="Q379" s="288"/>
      <c r="R379" s="243"/>
      <c r="S379" s="385" t="str">
        <f t="shared" si="107"/>
        <v/>
      </c>
    </row>
    <row r="380" spans="2:19" ht="13.5" hidden="1" thickBot="1">
      <c r="B380" s="609" t="s">
        <v>168</v>
      </c>
      <c r="C380" s="610"/>
      <c r="D380" s="648" t="s">
        <v>256</v>
      </c>
      <c r="E380" s="602"/>
      <c r="F380" s="737">
        <v>180</v>
      </c>
      <c r="G380" s="741">
        <v>1.4999999999999999E-2</v>
      </c>
      <c r="H380" s="739">
        <f>IF(F380&lt;=30,(0.66*F380+1.38)*G380,((0.66*30+1.38)+0.55*(F380-30))*G380)</f>
        <v>1.5552000000000001</v>
      </c>
      <c r="I380" s="387"/>
      <c r="J380" s="387"/>
      <c r="K380" s="606">
        <f t="shared" si="110"/>
        <v>0</v>
      </c>
      <c r="L380" s="607" t="s">
        <v>777</v>
      </c>
      <c r="M380" s="782"/>
      <c r="N380" s="430"/>
      <c r="O380" s="287">
        <f t="shared" si="102"/>
        <v>0</v>
      </c>
      <c r="P380" s="391">
        <f t="shared" si="103"/>
        <v>0</v>
      </c>
      <c r="Q380" s="288"/>
      <c r="R380" s="315" t="str">
        <f>IF(P379&gt;0,"xy","")</f>
        <v/>
      </c>
      <c r="S380" s="385" t="str">
        <f t="shared" si="107"/>
        <v/>
      </c>
    </row>
    <row r="381" spans="2:19" ht="13.5" hidden="1" thickBot="1">
      <c r="B381" s="609" t="s">
        <v>168</v>
      </c>
      <c r="C381" s="610"/>
      <c r="D381" s="648" t="s">
        <v>257</v>
      </c>
      <c r="E381" s="602"/>
      <c r="F381" s="737">
        <v>500</v>
      </c>
      <c r="G381" s="741"/>
      <c r="H381" s="740">
        <f>IF(F381&lt;=30,(0.48*F381+4.05)*G381,((0.48*30+4.05)+0.4*(F381-30))*G381)</f>
        <v>0</v>
      </c>
      <c r="I381" s="387"/>
      <c r="J381" s="387" t="str">
        <f t="shared" ref="J381" si="117">IF(ISBLANK(I381),"",SUM(H381:I381))</f>
        <v/>
      </c>
      <c r="K381" s="606">
        <f t="shared" si="110"/>
        <v>0</v>
      </c>
      <c r="L381" s="607" t="s">
        <v>777</v>
      </c>
      <c r="M381" s="782"/>
      <c r="N381" s="430"/>
      <c r="O381" s="287">
        <f t="shared" si="102"/>
        <v>0</v>
      </c>
      <c r="P381" s="391">
        <f t="shared" si="103"/>
        <v>0</v>
      </c>
      <c r="Q381" s="288"/>
      <c r="R381" s="315" t="str">
        <f>IF(P379&gt;0,"xy","")</f>
        <v/>
      </c>
      <c r="S381" s="385" t="str">
        <f t="shared" si="107"/>
        <v/>
      </c>
    </row>
    <row r="382" spans="2:19" ht="13.5" hidden="1" thickBot="1">
      <c r="B382" s="609" t="s">
        <v>168</v>
      </c>
      <c r="C382" s="610"/>
      <c r="D382" s="648" t="s">
        <v>270</v>
      </c>
      <c r="E382" s="602"/>
      <c r="F382" s="737">
        <v>0.2</v>
      </c>
      <c r="G382" s="741">
        <v>0.94</v>
      </c>
      <c r="H382" s="740">
        <f>IF(F382=0,0,IF(F382&lt;=30,(0.66*F382+1.38)*G382,((0.66*30+1.38)+0.55*(F382-30))*G382))</f>
        <v>1.4212799999999999</v>
      </c>
      <c r="I382" s="387"/>
      <c r="J382" s="387"/>
      <c r="K382" s="606">
        <f t="shared" si="110"/>
        <v>0</v>
      </c>
      <c r="L382" s="607" t="s">
        <v>777</v>
      </c>
      <c r="M382" s="782"/>
      <c r="N382" s="430"/>
      <c r="O382" s="287">
        <f t="shared" si="102"/>
        <v>0</v>
      </c>
      <c r="P382" s="391">
        <f t="shared" si="103"/>
        <v>0</v>
      </c>
      <c r="Q382" s="288"/>
      <c r="R382" s="315" t="str">
        <f>IF(P379&gt;0,"xy","")</f>
        <v/>
      </c>
      <c r="S382" s="385" t="str">
        <f t="shared" si="107"/>
        <v/>
      </c>
    </row>
    <row r="383" spans="2:19" ht="13.5" hidden="1" thickBot="1">
      <c r="B383" s="609" t="s">
        <v>168</v>
      </c>
      <c r="C383" s="610"/>
      <c r="D383" s="648" t="s">
        <v>271</v>
      </c>
      <c r="E383" s="602"/>
      <c r="F383" s="737">
        <v>20</v>
      </c>
      <c r="G383" s="741">
        <f>SUM(G379:G382)</f>
        <v>1</v>
      </c>
      <c r="H383" s="740">
        <f>IF(F383&lt;=30,(0.66*F383+2.77)*G383,((0.66*30+2.77)+0.55*(F383-30))*G383)</f>
        <v>15.97</v>
      </c>
      <c r="I383" s="387"/>
      <c r="J383" s="387"/>
      <c r="K383" s="606">
        <f t="shared" si="110"/>
        <v>0</v>
      </c>
      <c r="L383" s="607" t="s">
        <v>777</v>
      </c>
      <c r="M383" s="782"/>
      <c r="N383" s="430"/>
      <c r="O383" s="287">
        <f t="shared" si="102"/>
        <v>0</v>
      </c>
      <c r="P383" s="391">
        <f t="shared" si="103"/>
        <v>0</v>
      </c>
      <c r="Q383" s="288"/>
      <c r="R383" s="243" t="str">
        <f>IF(P379&gt;0,"xy","")</f>
        <v/>
      </c>
      <c r="S383" s="385" t="str">
        <f t="shared" si="107"/>
        <v/>
      </c>
    </row>
    <row r="384" spans="2:19" ht="13.5" hidden="1" thickBot="1">
      <c r="B384" s="633" t="s">
        <v>1957</v>
      </c>
      <c r="C384" s="715" t="s">
        <v>241</v>
      </c>
      <c r="D384" s="646" t="s">
        <v>825</v>
      </c>
      <c r="E384" s="704"/>
      <c r="F384" s="742">
        <v>500</v>
      </c>
      <c r="G384" s="743">
        <v>1</v>
      </c>
      <c r="H384" s="744">
        <f>(0.58*F384+28.61)*G384</f>
        <v>318.61</v>
      </c>
      <c r="I384" s="733">
        <v>5118.8900000000003</v>
      </c>
      <c r="J384" s="733">
        <f>IF(ISBLANK(I384),"",I384*(1+$F$9)/(1+$F$10))+H384</f>
        <v>5181.4500428512565</v>
      </c>
      <c r="K384" s="658">
        <f t="shared" si="110"/>
        <v>6287.69</v>
      </c>
      <c r="L384" s="705" t="s">
        <v>20</v>
      </c>
      <c r="M384" s="777">
        <f>ROUND(M379*G379,2)</f>
        <v>0</v>
      </c>
      <c r="N384" s="783"/>
      <c r="O384" s="436">
        <f t="shared" si="102"/>
        <v>0</v>
      </c>
      <c r="P384" s="437">
        <f t="shared" si="103"/>
        <v>0</v>
      </c>
      <c r="Q384" s="288"/>
      <c r="R384" s="315" t="str">
        <f>IF(P204&gt;0,"xy","")</f>
        <v/>
      </c>
      <c r="S384" s="385" t="str">
        <f t="shared" si="107"/>
        <v/>
      </c>
    </row>
    <row r="385" spans="2:20" ht="16.5" hidden="1" thickBot="1">
      <c r="B385" s="632" t="s">
        <v>1980</v>
      </c>
      <c r="C385" s="714" t="s">
        <v>212</v>
      </c>
      <c r="D385" s="645" t="s">
        <v>1031</v>
      </c>
      <c r="E385" s="701"/>
      <c r="F385" s="734" t="s">
        <v>829</v>
      </c>
      <c r="G385" s="735">
        <v>5.7000000000000002E-2</v>
      </c>
      <c r="H385" s="736">
        <f>SUM(H386:H389)</f>
        <v>33.016220000000004</v>
      </c>
      <c r="I385" s="732">
        <v>141.35</v>
      </c>
      <c r="J385" s="732">
        <f t="shared" si="104"/>
        <v>174.36622</v>
      </c>
      <c r="K385" s="621">
        <f t="shared" si="110"/>
        <v>211.59</v>
      </c>
      <c r="L385" s="702" t="s">
        <v>20</v>
      </c>
      <c r="M385" s="780"/>
      <c r="N385" s="781"/>
      <c r="O385" s="434">
        <f t="shared" si="102"/>
        <v>0</v>
      </c>
      <c r="P385" s="435">
        <f t="shared" si="103"/>
        <v>0</v>
      </c>
      <c r="Q385" s="288"/>
      <c r="R385" s="243"/>
      <c r="S385" s="385" t="str">
        <f t="shared" si="107"/>
        <v/>
      </c>
    </row>
    <row r="386" spans="2:20" ht="13.5" hidden="1" thickBot="1">
      <c r="B386" s="609" t="s">
        <v>168</v>
      </c>
      <c r="C386" s="610"/>
      <c r="D386" s="648" t="s">
        <v>256</v>
      </c>
      <c r="E386" s="602"/>
      <c r="F386" s="737">
        <v>180</v>
      </c>
      <c r="G386" s="741">
        <v>0.1</v>
      </c>
      <c r="H386" s="739">
        <f t="shared" ref="H386" si="118">IF(F386&lt;=30,(0.7*F386+1.45)*G386,((0.7*30+1.45)+0.58*(F386-30))*G386)</f>
        <v>10.945</v>
      </c>
      <c r="I386" s="387"/>
      <c r="J386" s="387"/>
      <c r="K386" s="606">
        <f t="shared" si="110"/>
        <v>0</v>
      </c>
      <c r="L386" s="607" t="s">
        <v>777</v>
      </c>
      <c r="M386" s="782"/>
      <c r="N386" s="430"/>
      <c r="O386" s="287">
        <f t="shared" si="102"/>
        <v>0</v>
      </c>
      <c r="P386" s="391">
        <f t="shared" si="103"/>
        <v>0</v>
      </c>
      <c r="Q386" s="288"/>
      <c r="R386" s="315" t="str">
        <f>IF(P385&gt;0,"xy","")</f>
        <v/>
      </c>
      <c r="S386" s="385" t="str">
        <f t="shared" si="107"/>
        <v/>
      </c>
    </row>
    <row r="387" spans="2:20" ht="13.5" hidden="1" thickBot="1">
      <c r="B387" s="609" t="s">
        <v>168</v>
      </c>
      <c r="C387" s="610"/>
      <c r="D387" s="648" t="s">
        <v>257</v>
      </c>
      <c r="E387" s="602"/>
      <c r="F387" s="737">
        <v>500</v>
      </c>
      <c r="G387" s="741">
        <v>1.4999999999999999E-2</v>
      </c>
      <c r="H387" s="740">
        <f>IF(F387&lt;=30,(0.51*F387+4.28)*G387,((0.51*30+4.28)+0.42*(F387-30))*G387)</f>
        <v>3.2547000000000001</v>
      </c>
      <c r="I387" s="387"/>
      <c r="J387" s="387"/>
      <c r="K387" s="606">
        <f t="shared" si="110"/>
        <v>0</v>
      </c>
      <c r="L387" s="607" t="s">
        <v>777</v>
      </c>
      <c r="M387" s="782"/>
      <c r="N387" s="430"/>
      <c r="O387" s="287">
        <f t="shared" si="102"/>
        <v>0</v>
      </c>
      <c r="P387" s="391">
        <f t="shared" si="103"/>
        <v>0</v>
      </c>
      <c r="Q387" s="288"/>
      <c r="R387" s="315" t="str">
        <f>IF(P385&gt;0,"xy","")</f>
        <v/>
      </c>
      <c r="S387" s="385" t="str">
        <f t="shared" si="107"/>
        <v/>
      </c>
    </row>
    <row r="388" spans="2:20" ht="13.5" hidden="1" thickBot="1">
      <c r="B388" s="609" t="s">
        <v>168</v>
      </c>
      <c r="C388" s="610"/>
      <c r="D388" s="648" t="s">
        <v>270</v>
      </c>
      <c r="E388" s="602"/>
      <c r="F388" s="737">
        <v>0.2</v>
      </c>
      <c r="G388" s="741">
        <v>0.82799999999999996</v>
      </c>
      <c r="H388" s="740">
        <f>IF(F388=0,0,IF(F388&lt;=30,(0.7*F388+1.45)*G388,((0.7*30+1.45)+0.58*(F388-30))*G388))</f>
        <v>1.3165199999999999</v>
      </c>
      <c r="I388" s="387"/>
      <c r="J388" s="387"/>
      <c r="K388" s="606">
        <f t="shared" si="110"/>
        <v>0</v>
      </c>
      <c r="L388" s="607" t="s">
        <v>777</v>
      </c>
      <c r="M388" s="782"/>
      <c r="N388" s="430"/>
      <c r="O388" s="287">
        <f t="shared" si="102"/>
        <v>0</v>
      </c>
      <c r="P388" s="391">
        <f t="shared" si="103"/>
        <v>0</v>
      </c>
      <c r="Q388" s="288"/>
      <c r="R388" s="315" t="str">
        <f>IF(P385&gt;0,"xy","")</f>
        <v/>
      </c>
      <c r="S388" s="385" t="str">
        <f t="shared" si="107"/>
        <v/>
      </c>
    </row>
    <row r="389" spans="2:20" ht="13.5" hidden="1" thickBot="1">
      <c r="B389" s="609" t="s">
        <v>168</v>
      </c>
      <c r="C389" s="610"/>
      <c r="D389" s="648" t="s">
        <v>271</v>
      </c>
      <c r="E389" s="602"/>
      <c r="F389" s="737">
        <v>20</v>
      </c>
      <c r="G389" s="741">
        <f>SUM(G385:G388)</f>
        <v>1</v>
      </c>
      <c r="H389" s="740">
        <f>IF(F389&lt;=30,(0.7*F389+3.5)*G389,((0.7*30+3.5)+0.58*(F389-30))*G389)</f>
        <v>17.5</v>
      </c>
      <c r="I389" s="387"/>
      <c r="J389" s="387"/>
      <c r="K389" s="606">
        <f t="shared" si="110"/>
        <v>0</v>
      </c>
      <c r="L389" s="607" t="s">
        <v>777</v>
      </c>
      <c r="M389" s="782"/>
      <c r="N389" s="430"/>
      <c r="O389" s="287">
        <f t="shared" si="102"/>
        <v>0</v>
      </c>
      <c r="P389" s="391">
        <f t="shared" si="103"/>
        <v>0</v>
      </c>
      <c r="Q389" s="288"/>
      <c r="R389" s="243" t="str">
        <f>IF(P385&gt;0,"xy","")</f>
        <v/>
      </c>
      <c r="S389" s="385" t="str">
        <f t="shared" si="107"/>
        <v/>
      </c>
    </row>
    <row r="390" spans="2:20" ht="13.5" hidden="1" thickBot="1">
      <c r="B390" s="633" t="s">
        <v>1958</v>
      </c>
      <c r="C390" s="715" t="s">
        <v>241</v>
      </c>
      <c r="D390" s="646" t="s">
        <v>825</v>
      </c>
      <c r="E390" s="704"/>
      <c r="F390" s="742">
        <v>500</v>
      </c>
      <c r="G390" s="743">
        <v>1</v>
      </c>
      <c r="H390" s="744">
        <f>(0.58*F390+28.61)*G390</f>
        <v>318.61</v>
      </c>
      <c r="I390" s="733">
        <v>5118.8900000000003</v>
      </c>
      <c r="J390" s="733">
        <f>IF(ISBLANK(I390),"",I390*(1+$F$9)/(1+$F$10))+H390</f>
        <v>5181.4500428512565</v>
      </c>
      <c r="K390" s="658">
        <f t="shared" si="110"/>
        <v>6287.69</v>
      </c>
      <c r="L390" s="705" t="s">
        <v>20</v>
      </c>
      <c r="M390" s="777">
        <f>ROUND(M385*G385,2)</f>
        <v>0</v>
      </c>
      <c r="N390" s="783"/>
      <c r="O390" s="439">
        <f t="shared" si="102"/>
        <v>0</v>
      </c>
      <c r="P390" s="439">
        <f t="shared" si="103"/>
        <v>0</v>
      </c>
      <c r="Q390" s="288"/>
      <c r="R390" s="315" t="str">
        <f>IF(P210&gt;0,"xy","")</f>
        <v/>
      </c>
      <c r="S390" s="385" t="str">
        <f t="shared" si="107"/>
        <v/>
      </c>
    </row>
    <row r="391" spans="2:20" ht="15.75">
      <c r="B391" s="632" t="s">
        <v>1981</v>
      </c>
      <c r="C391" s="714" t="s">
        <v>212</v>
      </c>
      <c r="D391" s="645" t="s">
        <v>2087</v>
      </c>
      <c r="E391" s="701"/>
      <c r="F391" s="734" t="s">
        <v>829</v>
      </c>
      <c r="G391" s="735">
        <v>0.05</v>
      </c>
      <c r="H391" s="736">
        <v>59.34</v>
      </c>
      <c r="I391" s="732">
        <v>182.86</v>
      </c>
      <c r="J391" s="732">
        <f t="shared" ref="J391" si="119">IF(ISBLANK(I391),"",SUM(H391:I391))</f>
        <v>242.20000000000002</v>
      </c>
      <c r="K391" s="621">
        <f t="shared" si="110"/>
        <v>293.91000000000003</v>
      </c>
      <c r="L391" s="702" t="s">
        <v>20</v>
      </c>
      <c r="M391" s="780">
        <v>226.83</v>
      </c>
      <c r="N391" s="781">
        <v>293.91000000000003</v>
      </c>
      <c r="O391" s="434">
        <f t="shared" si="102"/>
        <v>66667.61</v>
      </c>
      <c r="P391" s="435">
        <f t="shared" si="103"/>
        <v>66667.61</v>
      </c>
      <c r="Q391" s="288"/>
      <c r="R391" s="243" t="s">
        <v>174</v>
      </c>
      <c r="S391" s="385" t="str">
        <f t="shared" si="107"/>
        <v>x</v>
      </c>
      <c r="T391" s="3" t="s">
        <v>174</v>
      </c>
    </row>
    <row r="392" spans="2:20">
      <c r="B392" s="609" t="s">
        <v>168</v>
      </c>
      <c r="C392" s="610"/>
      <c r="D392" s="648" t="s">
        <v>256</v>
      </c>
      <c r="E392" s="602"/>
      <c r="F392" s="737">
        <v>180</v>
      </c>
      <c r="G392" s="741">
        <v>0.1007</v>
      </c>
      <c r="H392" s="739">
        <v>8.1199999999999992</v>
      </c>
      <c r="I392" s="387"/>
      <c r="J392" s="387"/>
      <c r="K392" s="606">
        <f t="shared" si="110"/>
        <v>0</v>
      </c>
      <c r="L392" s="607" t="s">
        <v>777</v>
      </c>
      <c r="M392" s="782"/>
      <c r="N392" s="430"/>
      <c r="O392" s="287">
        <f t="shared" si="102"/>
        <v>0</v>
      </c>
      <c r="P392" s="391">
        <f t="shared" si="103"/>
        <v>0</v>
      </c>
      <c r="Q392" s="288"/>
      <c r="R392" s="315" t="str">
        <f>IF(P391&gt;0,"xy","")</f>
        <v>xy</v>
      </c>
      <c r="S392" s="385" t="str">
        <f t="shared" si="107"/>
        <v>x</v>
      </c>
    </row>
    <row r="393" spans="2:20">
      <c r="B393" s="609" t="s">
        <v>168</v>
      </c>
      <c r="C393" s="610"/>
      <c r="D393" s="648" t="s">
        <v>257</v>
      </c>
      <c r="E393" s="602"/>
      <c r="F393" s="737">
        <v>500</v>
      </c>
      <c r="G393" s="741">
        <v>1.52E-2</v>
      </c>
      <c r="H393" s="740">
        <v>3.86</v>
      </c>
      <c r="I393" s="387"/>
      <c r="J393" s="387"/>
      <c r="K393" s="606">
        <f t="shared" si="110"/>
        <v>0</v>
      </c>
      <c r="L393" s="607" t="s">
        <v>777</v>
      </c>
      <c r="M393" s="782"/>
      <c r="N393" s="430"/>
      <c r="O393" s="287">
        <f t="shared" si="102"/>
        <v>0</v>
      </c>
      <c r="P393" s="391">
        <f t="shared" si="103"/>
        <v>0</v>
      </c>
      <c r="Q393" s="288"/>
      <c r="R393" s="315" t="str">
        <f>IF(P391&gt;0,"xy","")</f>
        <v>xy</v>
      </c>
      <c r="S393" s="385" t="str">
        <f t="shared" si="107"/>
        <v>x</v>
      </c>
    </row>
    <row r="394" spans="2:20">
      <c r="B394" s="609" t="s">
        <v>168</v>
      </c>
      <c r="C394" s="610"/>
      <c r="D394" s="648" t="s">
        <v>270</v>
      </c>
      <c r="E394" s="602"/>
      <c r="F394" s="737">
        <v>0.2</v>
      </c>
      <c r="G394" s="741">
        <v>0.83409999999999995</v>
      </c>
      <c r="H394" s="740">
        <v>1.91</v>
      </c>
      <c r="I394" s="387"/>
      <c r="J394" s="387"/>
      <c r="K394" s="606">
        <f t="shared" si="110"/>
        <v>0</v>
      </c>
      <c r="L394" s="607" t="s">
        <v>777</v>
      </c>
      <c r="M394" s="782"/>
      <c r="N394" s="430"/>
      <c r="O394" s="287">
        <f t="shared" si="102"/>
        <v>0</v>
      </c>
      <c r="P394" s="391">
        <f t="shared" si="103"/>
        <v>0</v>
      </c>
      <c r="Q394" s="288"/>
      <c r="R394" s="315" t="str">
        <f>IF(P391&gt;0,"xy","")</f>
        <v>xy</v>
      </c>
      <c r="S394" s="385" t="str">
        <f t="shared" si="107"/>
        <v>x</v>
      </c>
    </row>
    <row r="395" spans="2:20">
      <c r="B395" s="609" t="s">
        <v>168</v>
      </c>
      <c r="C395" s="610"/>
      <c r="D395" s="648" t="s">
        <v>271</v>
      </c>
      <c r="E395" s="602"/>
      <c r="F395" s="737">
        <v>20</v>
      </c>
      <c r="G395" s="741">
        <f>SUM(G391:G394)</f>
        <v>1</v>
      </c>
      <c r="H395" s="740">
        <v>45.45</v>
      </c>
      <c r="I395" s="387"/>
      <c r="J395" s="387"/>
      <c r="K395" s="606">
        <f t="shared" si="110"/>
        <v>0</v>
      </c>
      <c r="L395" s="607" t="s">
        <v>777</v>
      </c>
      <c r="M395" s="782"/>
      <c r="N395" s="430"/>
      <c r="O395" s="287">
        <f t="shared" si="102"/>
        <v>0</v>
      </c>
      <c r="P395" s="391">
        <f t="shared" si="103"/>
        <v>0</v>
      </c>
      <c r="Q395" s="288"/>
      <c r="R395" s="243" t="str">
        <f>IF(P391&gt;0,"xy","")</f>
        <v>xy</v>
      </c>
      <c r="S395" s="385" t="str">
        <f t="shared" si="107"/>
        <v>x</v>
      </c>
    </row>
    <row r="396" spans="2:20" ht="13.5" thickBot="1">
      <c r="B396" s="633" t="s">
        <v>1959</v>
      </c>
      <c r="C396" s="715" t="s">
        <v>241</v>
      </c>
      <c r="D396" s="646" t="s">
        <v>825</v>
      </c>
      <c r="E396" s="704"/>
      <c r="F396" s="742">
        <v>500</v>
      </c>
      <c r="G396" s="743">
        <v>1</v>
      </c>
      <c r="H396" s="744">
        <v>522.29999999999995</v>
      </c>
      <c r="I396" s="733">
        <v>6287.6</v>
      </c>
      <c r="J396" s="733">
        <f>IF(ISBLANK(I396),"",I396*(1+$F$9)/(1+$F$10))+H396</f>
        <v>6495.3904655953856</v>
      </c>
      <c r="K396" s="658">
        <f t="shared" si="110"/>
        <v>7882.16</v>
      </c>
      <c r="L396" s="705" t="s">
        <v>20</v>
      </c>
      <c r="M396" s="777">
        <f>ROUND(M391*G391,2)</f>
        <v>11.34</v>
      </c>
      <c r="N396" s="783">
        <v>7882.16</v>
      </c>
      <c r="O396" s="439">
        <f t="shared" si="102"/>
        <v>89383.69</v>
      </c>
      <c r="P396" s="439">
        <f t="shared" si="103"/>
        <v>89383.69</v>
      </c>
      <c r="Q396" s="288"/>
      <c r="R396" s="315" t="s">
        <v>174</v>
      </c>
      <c r="S396" s="385" t="str">
        <f t="shared" si="107"/>
        <v>x</v>
      </c>
      <c r="T396" s="3" t="s">
        <v>174</v>
      </c>
    </row>
    <row r="397" spans="2:20" ht="16.5" hidden="1" thickBot="1">
      <c r="B397" s="632" t="s">
        <v>1982</v>
      </c>
      <c r="C397" s="714" t="s">
        <v>212</v>
      </c>
      <c r="D397" s="645" t="s">
        <v>2088</v>
      </c>
      <c r="E397" s="701"/>
      <c r="F397" s="734" t="s">
        <v>829</v>
      </c>
      <c r="G397" s="735">
        <v>5.5E-2</v>
      </c>
      <c r="H397" s="736">
        <f>SUM(H398:H401)</f>
        <v>33.062511000000001</v>
      </c>
      <c r="I397" s="732">
        <v>141.35</v>
      </c>
      <c r="J397" s="732">
        <f t="shared" ref="J397" si="120">IF(ISBLANK(I397),"",SUM(H397:I397))</f>
        <v>174.41251099999999</v>
      </c>
      <c r="K397" s="621">
        <f t="shared" si="110"/>
        <v>211.65</v>
      </c>
      <c r="L397" s="702" t="s">
        <v>20</v>
      </c>
      <c r="M397" s="780"/>
      <c r="N397" s="781"/>
      <c r="O397" s="434">
        <f t="shared" si="102"/>
        <v>0</v>
      </c>
      <c r="P397" s="435">
        <f t="shared" si="103"/>
        <v>0</v>
      </c>
      <c r="Q397" s="288"/>
      <c r="R397" s="243"/>
      <c r="S397" s="385" t="str">
        <f t="shared" si="107"/>
        <v/>
      </c>
    </row>
    <row r="398" spans="2:20" ht="13.5" hidden="1" thickBot="1">
      <c r="B398" s="609" t="s">
        <v>168</v>
      </c>
      <c r="C398" s="610"/>
      <c r="D398" s="648" t="s">
        <v>256</v>
      </c>
      <c r="E398" s="602"/>
      <c r="F398" s="737">
        <v>180</v>
      </c>
      <c r="G398" s="741">
        <v>0.1002</v>
      </c>
      <c r="H398" s="739">
        <f t="shared" ref="H398" si="121">IF(F398&lt;=30,(0.7*F398+1.45)*G398,((0.7*30+1.45)+0.58*(F398-30))*G398)</f>
        <v>10.966889999999999</v>
      </c>
      <c r="I398" s="387"/>
      <c r="J398" s="387"/>
      <c r="K398" s="606">
        <f t="shared" si="110"/>
        <v>0</v>
      </c>
      <c r="L398" s="607" t="s">
        <v>777</v>
      </c>
      <c r="M398" s="782"/>
      <c r="N398" s="430"/>
      <c r="O398" s="287">
        <f t="shared" si="102"/>
        <v>0</v>
      </c>
      <c r="P398" s="391">
        <f t="shared" si="103"/>
        <v>0</v>
      </c>
      <c r="Q398" s="288"/>
      <c r="R398" s="315" t="str">
        <f>IF(P397&gt;0,"xy","")</f>
        <v/>
      </c>
      <c r="S398" s="385" t="str">
        <f t="shared" si="107"/>
        <v/>
      </c>
    </row>
    <row r="399" spans="2:20" ht="13.5" hidden="1" thickBot="1">
      <c r="B399" s="609" t="s">
        <v>168</v>
      </c>
      <c r="C399" s="610"/>
      <c r="D399" s="648" t="s">
        <v>257</v>
      </c>
      <c r="E399" s="602"/>
      <c r="F399" s="737">
        <v>500</v>
      </c>
      <c r="G399" s="741">
        <v>1.5100000000000001E-2</v>
      </c>
      <c r="H399" s="740">
        <f>IF(F399&lt;=30,(0.51*F399+4.28)*G399,((0.51*30+4.28)+0.42*(F399-30))*G399)</f>
        <v>3.2763980000000004</v>
      </c>
      <c r="I399" s="387"/>
      <c r="J399" s="387"/>
      <c r="K399" s="606">
        <f t="shared" si="110"/>
        <v>0</v>
      </c>
      <c r="L399" s="607" t="s">
        <v>777</v>
      </c>
      <c r="M399" s="782"/>
      <c r="N399" s="430"/>
      <c r="O399" s="287">
        <f t="shared" si="102"/>
        <v>0</v>
      </c>
      <c r="P399" s="391">
        <f t="shared" si="103"/>
        <v>0</v>
      </c>
      <c r="Q399" s="288"/>
      <c r="R399" s="315" t="str">
        <f>IF(P397&gt;0,"xy","")</f>
        <v/>
      </c>
      <c r="S399" s="385" t="str">
        <f t="shared" si="107"/>
        <v/>
      </c>
    </row>
    <row r="400" spans="2:20" ht="13.5" hidden="1" thickBot="1">
      <c r="B400" s="609" t="s">
        <v>168</v>
      </c>
      <c r="C400" s="610"/>
      <c r="D400" s="648" t="s">
        <v>270</v>
      </c>
      <c r="E400" s="602"/>
      <c r="F400" s="737">
        <v>0.2</v>
      </c>
      <c r="G400" s="741">
        <v>0.82969999999999999</v>
      </c>
      <c r="H400" s="740">
        <f>IF(F400=0,0,IF(F400&lt;=30,(0.7*F400+1.45)*G400,((0.7*30+1.45)+0.58*(F400-30))*G400))</f>
        <v>1.3192229999999998</v>
      </c>
      <c r="I400" s="387"/>
      <c r="J400" s="387"/>
      <c r="K400" s="606">
        <f t="shared" si="110"/>
        <v>0</v>
      </c>
      <c r="L400" s="607" t="s">
        <v>777</v>
      </c>
      <c r="M400" s="782"/>
      <c r="N400" s="430"/>
      <c r="O400" s="287">
        <f t="shared" si="102"/>
        <v>0</v>
      </c>
      <c r="P400" s="391">
        <f t="shared" si="103"/>
        <v>0</v>
      </c>
      <c r="Q400" s="288"/>
      <c r="R400" s="315" t="str">
        <f>IF(P397&gt;0,"xy","")</f>
        <v/>
      </c>
      <c r="S400" s="385" t="str">
        <f t="shared" si="107"/>
        <v/>
      </c>
    </row>
    <row r="401" spans="2:19" ht="13.5" hidden="1" thickBot="1">
      <c r="B401" s="609" t="s">
        <v>168</v>
      </c>
      <c r="C401" s="610"/>
      <c r="D401" s="648" t="s">
        <v>271</v>
      </c>
      <c r="E401" s="602"/>
      <c r="F401" s="737">
        <v>20</v>
      </c>
      <c r="G401" s="741">
        <f>SUM(G397:G400)</f>
        <v>1</v>
      </c>
      <c r="H401" s="740">
        <f>IF(F401&lt;=30,(0.7*F401+3.5)*G401,((0.7*30+3.5)+0.58*(F401-30))*G401)</f>
        <v>17.5</v>
      </c>
      <c r="I401" s="387"/>
      <c r="J401" s="387"/>
      <c r="K401" s="606">
        <f t="shared" si="110"/>
        <v>0</v>
      </c>
      <c r="L401" s="607" t="s">
        <v>777</v>
      </c>
      <c r="M401" s="782"/>
      <c r="N401" s="430"/>
      <c r="O401" s="287">
        <f t="shared" si="102"/>
        <v>0</v>
      </c>
      <c r="P401" s="391">
        <f t="shared" si="103"/>
        <v>0</v>
      </c>
      <c r="Q401" s="288"/>
      <c r="R401" s="243" t="str">
        <f>IF(P397&gt;0,"xy","")</f>
        <v/>
      </c>
      <c r="S401" s="385" t="str">
        <f t="shared" si="107"/>
        <v/>
      </c>
    </row>
    <row r="402" spans="2:19" ht="13.5" hidden="1" thickBot="1">
      <c r="B402" s="633" t="s">
        <v>1960</v>
      </c>
      <c r="C402" s="715" t="s">
        <v>241</v>
      </c>
      <c r="D402" s="646" t="s">
        <v>825</v>
      </c>
      <c r="E402" s="704"/>
      <c r="F402" s="742">
        <v>500</v>
      </c>
      <c r="G402" s="743">
        <v>1</v>
      </c>
      <c r="H402" s="744">
        <f>(0.58*F402+28.61)*G402</f>
        <v>318.61</v>
      </c>
      <c r="I402" s="733">
        <v>5118.8900000000003</v>
      </c>
      <c r="J402" s="733">
        <f>IF(ISBLANK(I402),"",I402*(1+$F$9)/(1+$F$10))+H402</f>
        <v>5181.4500428512565</v>
      </c>
      <c r="K402" s="658">
        <f t="shared" si="110"/>
        <v>6287.69</v>
      </c>
      <c r="L402" s="705" t="s">
        <v>20</v>
      </c>
      <c r="M402" s="777">
        <f>ROUND(M397*G397,2)</f>
        <v>0</v>
      </c>
      <c r="N402" s="783"/>
      <c r="O402" s="439">
        <f t="shared" si="102"/>
        <v>0</v>
      </c>
      <c r="P402" s="439">
        <f t="shared" si="103"/>
        <v>0</v>
      </c>
      <c r="Q402" s="288"/>
      <c r="R402" s="315" t="str">
        <f>IF(P222&gt;0,"xy","")</f>
        <v/>
      </c>
      <c r="S402" s="385" t="str">
        <f t="shared" si="107"/>
        <v/>
      </c>
    </row>
    <row r="403" spans="2:19" ht="16.5" hidden="1" thickBot="1">
      <c r="B403" s="632" t="s">
        <v>1983</v>
      </c>
      <c r="C403" s="714" t="s">
        <v>212</v>
      </c>
      <c r="D403" s="645" t="s">
        <v>2089</v>
      </c>
      <c r="E403" s="701"/>
      <c r="F403" s="734" t="s">
        <v>829</v>
      </c>
      <c r="G403" s="735">
        <v>5.7000000000000002E-2</v>
      </c>
      <c r="H403" s="736">
        <f>SUM(H404:H407)</f>
        <v>45.816220000000001</v>
      </c>
      <c r="I403" s="732">
        <v>141.35</v>
      </c>
      <c r="J403" s="732">
        <f t="shared" ref="J403" si="122">IF(ISBLANK(I403),"",SUM(H403:I403))</f>
        <v>187.16622000000001</v>
      </c>
      <c r="K403" s="621">
        <f t="shared" si="110"/>
        <v>227.13</v>
      </c>
      <c r="L403" s="702" t="s">
        <v>20</v>
      </c>
      <c r="M403" s="780"/>
      <c r="N403" s="781"/>
      <c r="O403" s="434">
        <f t="shared" si="102"/>
        <v>0</v>
      </c>
      <c r="P403" s="435">
        <f t="shared" si="103"/>
        <v>0</v>
      </c>
      <c r="Q403" s="288"/>
      <c r="R403" s="243"/>
      <c r="S403" s="385" t="str">
        <f t="shared" si="107"/>
        <v/>
      </c>
    </row>
    <row r="404" spans="2:19" ht="13.5" hidden="1" thickBot="1">
      <c r="B404" s="609" t="s">
        <v>168</v>
      </c>
      <c r="C404" s="610"/>
      <c r="D404" s="648" t="s">
        <v>256</v>
      </c>
      <c r="E404" s="602"/>
      <c r="F404" s="737">
        <v>180</v>
      </c>
      <c r="G404" s="741">
        <v>0.1</v>
      </c>
      <c r="H404" s="739">
        <f t="shared" ref="H404" si="123">IF(F404&lt;=30,(0.7*F404+1.45)*G404,((0.7*30+1.45)+0.58*(F404-30))*G404)</f>
        <v>10.945</v>
      </c>
      <c r="I404" s="387"/>
      <c r="J404" s="387"/>
      <c r="K404" s="606">
        <f t="shared" si="110"/>
        <v>0</v>
      </c>
      <c r="L404" s="607" t="s">
        <v>777</v>
      </c>
      <c r="M404" s="782"/>
      <c r="N404" s="430"/>
      <c r="O404" s="287">
        <f t="shared" si="102"/>
        <v>0</v>
      </c>
      <c r="P404" s="391">
        <f t="shared" si="103"/>
        <v>0</v>
      </c>
      <c r="Q404" s="288"/>
      <c r="R404" s="315" t="str">
        <f>IF(P403&gt;0,"xy","")</f>
        <v/>
      </c>
      <c r="S404" s="385" t="str">
        <f t="shared" si="107"/>
        <v/>
      </c>
    </row>
    <row r="405" spans="2:19" ht="13.5" hidden="1" thickBot="1">
      <c r="B405" s="609" t="s">
        <v>168</v>
      </c>
      <c r="C405" s="610"/>
      <c r="D405" s="648" t="s">
        <v>257</v>
      </c>
      <c r="E405" s="602"/>
      <c r="F405" s="737">
        <v>500</v>
      </c>
      <c r="G405" s="741">
        <v>1.4999999999999999E-2</v>
      </c>
      <c r="H405" s="740">
        <f>IF(F405&lt;=30,(0.51*F405+4.28)*G405,((0.51*30+4.28)+0.42*(F405-30))*G405)</f>
        <v>3.2547000000000001</v>
      </c>
      <c r="I405" s="387"/>
      <c r="J405" s="387"/>
      <c r="K405" s="606">
        <f t="shared" si="110"/>
        <v>0</v>
      </c>
      <c r="L405" s="607" t="s">
        <v>777</v>
      </c>
      <c r="M405" s="782"/>
      <c r="N405" s="430"/>
      <c r="O405" s="287">
        <f t="shared" si="102"/>
        <v>0</v>
      </c>
      <c r="P405" s="391">
        <f t="shared" si="103"/>
        <v>0</v>
      </c>
      <c r="Q405" s="288"/>
      <c r="R405" s="315" t="str">
        <f>IF(P403&gt;0,"xy","")</f>
        <v/>
      </c>
      <c r="S405" s="385" t="str">
        <f t="shared" si="107"/>
        <v/>
      </c>
    </row>
    <row r="406" spans="2:19" ht="13.5" hidden="1" thickBot="1">
      <c r="B406" s="609" t="s">
        <v>168</v>
      </c>
      <c r="C406" s="610"/>
      <c r="D406" s="648" t="s">
        <v>270</v>
      </c>
      <c r="E406" s="602"/>
      <c r="F406" s="737">
        <v>0.2</v>
      </c>
      <c r="G406" s="741">
        <v>0.82799999999999996</v>
      </c>
      <c r="H406" s="740">
        <f>IF(F406=0,0,IF(F406&lt;=30,(0.7*F406+1.45)*G406,((0.7*30+1.45)+0.58*(F406-30))*G406))</f>
        <v>1.3165199999999999</v>
      </c>
      <c r="I406" s="387"/>
      <c r="J406" s="387"/>
      <c r="K406" s="606">
        <f t="shared" si="110"/>
        <v>0</v>
      </c>
      <c r="L406" s="607" t="s">
        <v>777</v>
      </c>
      <c r="M406" s="782"/>
      <c r="N406" s="430"/>
      <c r="O406" s="287">
        <f t="shared" si="102"/>
        <v>0</v>
      </c>
      <c r="P406" s="391">
        <f t="shared" si="103"/>
        <v>0</v>
      </c>
      <c r="Q406" s="288"/>
      <c r="R406" s="315" t="str">
        <f>IF(P403&gt;0,"xy","")</f>
        <v/>
      </c>
      <c r="S406" s="385" t="str">
        <f t="shared" si="107"/>
        <v/>
      </c>
    </row>
    <row r="407" spans="2:19" ht="13.5" hidden="1" thickBot="1">
      <c r="B407" s="609" t="s">
        <v>168</v>
      </c>
      <c r="C407" s="610"/>
      <c r="D407" s="648" t="s">
        <v>271</v>
      </c>
      <c r="E407" s="602"/>
      <c r="F407" s="737">
        <v>40</v>
      </c>
      <c r="G407" s="741">
        <f>SUM(G403:G406)</f>
        <v>1</v>
      </c>
      <c r="H407" s="740">
        <f>IF(F407&lt;=30,(0.7*F407+3.5)*G407,((0.7*30+3.5)+0.58*(F407-30))*G407)</f>
        <v>30.3</v>
      </c>
      <c r="I407" s="387"/>
      <c r="J407" s="387"/>
      <c r="K407" s="606">
        <f t="shared" si="110"/>
        <v>0</v>
      </c>
      <c r="L407" s="607" t="s">
        <v>777</v>
      </c>
      <c r="M407" s="782"/>
      <c r="N407" s="430"/>
      <c r="O407" s="287">
        <f t="shared" si="102"/>
        <v>0</v>
      </c>
      <c r="P407" s="391">
        <f t="shared" si="103"/>
        <v>0</v>
      </c>
      <c r="Q407" s="288"/>
      <c r="R407" s="243" t="str">
        <f>IF(P403&gt;0,"xy","")</f>
        <v/>
      </c>
      <c r="S407" s="385" t="str">
        <f t="shared" si="107"/>
        <v/>
      </c>
    </row>
    <row r="408" spans="2:19" ht="13.5" hidden="1" thickBot="1">
      <c r="B408" s="633" t="s">
        <v>1961</v>
      </c>
      <c r="C408" s="715" t="s">
        <v>241</v>
      </c>
      <c r="D408" s="646" t="s">
        <v>825</v>
      </c>
      <c r="E408" s="704"/>
      <c r="F408" s="742">
        <v>500</v>
      </c>
      <c r="G408" s="743">
        <v>1</v>
      </c>
      <c r="H408" s="744">
        <f>(0.58*F408+28.61)*G408</f>
        <v>318.61</v>
      </c>
      <c r="I408" s="733">
        <v>5118.8900000000003</v>
      </c>
      <c r="J408" s="733">
        <f>IF(ISBLANK(I408),"",I408*(1+$F$9)/(1+$F$10))+H408</f>
        <v>5181.4500428512565</v>
      </c>
      <c r="K408" s="658">
        <f t="shared" si="110"/>
        <v>6287.69</v>
      </c>
      <c r="L408" s="705" t="s">
        <v>20</v>
      </c>
      <c r="M408" s="777">
        <f>ROUND(M403*G403,2)</f>
        <v>0</v>
      </c>
      <c r="N408" s="783"/>
      <c r="O408" s="439">
        <f t="shared" si="102"/>
        <v>0</v>
      </c>
      <c r="P408" s="439">
        <f t="shared" si="103"/>
        <v>0</v>
      </c>
      <c r="Q408" s="288"/>
      <c r="R408" s="315" t="str">
        <f>IF(P228&gt;0,"xy","")</f>
        <v/>
      </c>
      <c r="S408" s="385" t="str">
        <f t="shared" si="107"/>
        <v/>
      </c>
    </row>
    <row r="409" spans="2:19" ht="16.5" hidden="1" thickBot="1">
      <c r="B409" s="632" t="s">
        <v>2006</v>
      </c>
      <c r="C409" s="714" t="s">
        <v>212</v>
      </c>
      <c r="D409" s="645" t="s">
        <v>2090</v>
      </c>
      <c r="E409" s="701"/>
      <c r="F409" s="734" t="s">
        <v>829</v>
      </c>
      <c r="G409" s="735">
        <v>0.05</v>
      </c>
      <c r="H409" s="736">
        <f>SUM(H410:H413)</f>
        <v>33.14593</v>
      </c>
      <c r="I409" s="732">
        <v>127</v>
      </c>
      <c r="J409" s="732">
        <f t="shared" ref="J409:J439" si="124">IF(ISBLANK(I409),"",SUM(H409:I409))</f>
        <v>160.14592999999999</v>
      </c>
      <c r="K409" s="621">
        <f t="shared" si="110"/>
        <v>194.34</v>
      </c>
      <c r="L409" s="702" t="s">
        <v>20</v>
      </c>
      <c r="M409" s="780"/>
      <c r="N409" s="781"/>
      <c r="O409" s="434">
        <f t="shared" si="102"/>
        <v>0</v>
      </c>
      <c r="P409" s="435">
        <f t="shared" si="103"/>
        <v>0</v>
      </c>
      <c r="Q409" s="288"/>
      <c r="R409" s="243"/>
      <c r="S409" s="385" t="str">
        <f t="shared" si="107"/>
        <v/>
      </c>
    </row>
    <row r="410" spans="2:19" ht="13.5" hidden="1" thickBot="1">
      <c r="B410" s="609" t="s">
        <v>168</v>
      </c>
      <c r="C410" s="610"/>
      <c r="D410" s="648" t="s">
        <v>256</v>
      </c>
      <c r="E410" s="602"/>
      <c r="F410" s="737">
        <v>180</v>
      </c>
      <c r="G410" s="741">
        <v>0.1007</v>
      </c>
      <c r="H410" s="739">
        <f t="shared" ref="H410" si="125">IF(F410&lt;=30,(0.7*F410+1.45)*G410,((0.7*30+1.45)+0.58*(F410-30))*G410)</f>
        <v>11.021615000000001</v>
      </c>
      <c r="I410" s="387"/>
      <c r="J410" s="387"/>
      <c r="K410" s="606">
        <f t="shared" si="110"/>
        <v>0</v>
      </c>
      <c r="L410" s="607" t="s">
        <v>777</v>
      </c>
      <c r="M410" s="782"/>
      <c r="N410" s="430"/>
      <c r="O410" s="287">
        <f t="shared" si="102"/>
        <v>0</v>
      </c>
      <c r="P410" s="391">
        <f t="shared" si="103"/>
        <v>0</v>
      </c>
      <c r="Q410" s="288"/>
      <c r="R410" s="315" t="str">
        <f>IF(P409&gt;0,"xy","")</f>
        <v/>
      </c>
      <c r="S410" s="385" t="str">
        <f t="shared" si="107"/>
        <v/>
      </c>
    </row>
    <row r="411" spans="2:19" ht="13.5" hidden="1" thickBot="1">
      <c r="B411" s="609" t="s">
        <v>168</v>
      </c>
      <c r="C411" s="610"/>
      <c r="D411" s="648" t="s">
        <v>257</v>
      </c>
      <c r="E411" s="602"/>
      <c r="F411" s="737">
        <v>500</v>
      </c>
      <c r="G411" s="741">
        <v>1.52E-2</v>
      </c>
      <c r="H411" s="740">
        <f>IF(F411&lt;=30,(0.51*F411+4.28)*G411,((0.51*30+4.28)+0.42*(F411-30))*G411)</f>
        <v>3.2980960000000001</v>
      </c>
      <c r="I411" s="387"/>
      <c r="J411" s="387"/>
      <c r="K411" s="606">
        <f t="shared" si="110"/>
        <v>0</v>
      </c>
      <c r="L411" s="607" t="s">
        <v>777</v>
      </c>
      <c r="M411" s="782"/>
      <c r="N411" s="430"/>
      <c r="O411" s="287">
        <f t="shared" si="102"/>
        <v>0</v>
      </c>
      <c r="P411" s="391">
        <f t="shared" si="103"/>
        <v>0</v>
      </c>
      <c r="Q411" s="288"/>
      <c r="R411" s="315" t="str">
        <f>IF(P409&gt;0,"xy","")</f>
        <v/>
      </c>
      <c r="S411" s="385" t="str">
        <f t="shared" si="107"/>
        <v/>
      </c>
    </row>
    <row r="412" spans="2:19" ht="13.5" hidden="1" thickBot="1">
      <c r="B412" s="609" t="s">
        <v>168</v>
      </c>
      <c r="C412" s="610"/>
      <c r="D412" s="648" t="s">
        <v>270</v>
      </c>
      <c r="E412" s="602"/>
      <c r="F412" s="737">
        <v>0.2</v>
      </c>
      <c r="G412" s="741">
        <v>0.83409999999999995</v>
      </c>
      <c r="H412" s="740">
        <f>IF(F412=0,0,IF(F412&lt;=30,(0.7*F412+1.45)*G412,((0.7*30+1.45)+0.58*(F412-30))*G412))</f>
        <v>1.3262189999999998</v>
      </c>
      <c r="I412" s="387"/>
      <c r="J412" s="387"/>
      <c r="K412" s="606">
        <f t="shared" si="110"/>
        <v>0</v>
      </c>
      <c r="L412" s="607" t="s">
        <v>777</v>
      </c>
      <c r="M412" s="782"/>
      <c r="N412" s="430"/>
      <c r="O412" s="287">
        <f t="shared" si="102"/>
        <v>0</v>
      </c>
      <c r="P412" s="391">
        <f t="shared" si="103"/>
        <v>0</v>
      </c>
      <c r="Q412" s="288"/>
      <c r="R412" s="315" t="str">
        <f>IF(P409&gt;0,"xy","")</f>
        <v/>
      </c>
      <c r="S412" s="385" t="str">
        <f t="shared" si="107"/>
        <v/>
      </c>
    </row>
    <row r="413" spans="2:19" ht="13.5" hidden="1" thickBot="1">
      <c r="B413" s="609" t="s">
        <v>168</v>
      </c>
      <c r="C413" s="610"/>
      <c r="D413" s="648" t="s">
        <v>271</v>
      </c>
      <c r="E413" s="602"/>
      <c r="F413" s="737">
        <v>20</v>
      </c>
      <c r="G413" s="741">
        <f>SUM(G409:G412)</f>
        <v>1</v>
      </c>
      <c r="H413" s="740">
        <f>IF(F413&lt;=30,(0.7*F413+3.5)*G413,((0.7*30+3.5)+0.58*(F413-30))*G413)</f>
        <v>17.5</v>
      </c>
      <c r="I413" s="387"/>
      <c r="J413" s="387"/>
      <c r="K413" s="606">
        <f t="shared" si="110"/>
        <v>0</v>
      </c>
      <c r="L413" s="607" t="s">
        <v>777</v>
      </c>
      <c r="M413" s="782"/>
      <c r="N413" s="430"/>
      <c r="O413" s="287">
        <f t="shared" si="102"/>
        <v>0</v>
      </c>
      <c r="P413" s="391">
        <f t="shared" si="103"/>
        <v>0</v>
      </c>
      <c r="Q413" s="288"/>
      <c r="R413" s="243" t="str">
        <f>IF(P409&gt;0,"xy","")</f>
        <v/>
      </c>
      <c r="S413" s="385" t="str">
        <f t="shared" si="107"/>
        <v/>
      </c>
    </row>
    <row r="414" spans="2:19" ht="13.5" hidden="1" thickBot="1">
      <c r="B414" s="633" t="s">
        <v>1962</v>
      </c>
      <c r="C414" s="715" t="s">
        <v>241</v>
      </c>
      <c r="D414" s="646" t="s">
        <v>826</v>
      </c>
      <c r="E414" s="704"/>
      <c r="F414" s="742">
        <v>500</v>
      </c>
      <c r="G414" s="743">
        <v>1</v>
      </c>
      <c r="H414" s="744">
        <f>(0.58*F414+28.61)*G414</f>
        <v>318.61</v>
      </c>
      <c r="I414" s="733">
        <v>5118.8900000000003</v>
      </c>
      <c r="J414" s="733">
        <f>IF(ISBLANK(I414),"",I414*(1+$F$9)/(1+$F$10))+H414</f>
        <v>5181.4500428512565</v>
      </c>
      <c r="K414" s="658">
        <f t="shared" si="110"/>
        <v>6287.69</v>
      </c>
      <c r="L414" s="705" t="s">
        <v>20</v>
      </c>
      <c r="M414" s="777">
        <f>ROUND(M409*G409,2)</f>
        <v>0</v>
      </c>
      <c r="N414" s="783"/>
      <c r="O414" s="439">
        <f t="shared" si="102"/>
        <v>0</v>
      </c>
      <c r="P414" s="439">
        <f t="shared" si="103"/>
        <v>0</v>
      </c>
      <c r="Q414" s="288"/>
      <c r="R414" s="315" t="str">
        <f>IF(P234&gt;0,"xy","")</f>
        <v/>
      </c>
      <c r="S414" s="385" t="str">
        <f t="shared" si="107"/>
        <v/>
      </c>
    </row>
    <row r="415" spans="2:19" ht="16.5" hidden="1" thickBot="1">
      <c r="B415" s="632" t="s">
        <v>2007</v>
      </c>
      <c r="C415" s="714" t="s">
        <v>212</v>
      </c>
      <c r="D415" s="645" t="s">
        <v>2091</v>
      </c>
      <c r="E415" s="701"/>
      <c r="F415" s="734" t="s">
        <v>829</v>
      </c>
      <c r="G415" s="735">
        <v>5.5E-2</v>
      </c>
      <c r="H415" s="736">
        <f>SUM(H416:H419)</f>
        <v>33.062511000000001</v>
      </c>
      <c r="I415" s="732">
        <v>127</v>
      </c>
      <c r="J415" s="732">
        <f t="shared" si="124"/>
        <v>160.062511</v>
      </c>
      <c r="K415" s="621">
        <f t="shared" si="110"/>
        <v>194.24</v>
      </c>
      <c r="L415" s="702" t="s">
        <v>20</v>
      </c>
      <c r="M415" s="780"/>
      <c r="N415" s="781"/>
      <c r="O415" s="434">
        <f t="shared" si="102"/>
        <v>0</v>
      </c>
      <c r="P415" s="435">
        <f t="shared" si="103"/>
        <v>0</v>
      </c>
      <c r="Q415" s="288"/>
      <c r="R415" s="243"/>
      <c r="S415" s="385" t="str">
        <f t="shared" si="107"/>
        <v/>
      </c>
    </row>
    <row r="416" spans="2:19" ht="13.5" hidden="1" thickBot="1">
      <c r="B416" s="609" t="s">
        <v>168</v>
      </c>
      <c r="C416" s="610"/>
      <c r="D416" s="648" t="s">
        <v>256</v>
      </c>
      <c r="E416" s="602"/>
      <c r="F416" s="737">
        <v>180</v>
      </c>
      <c r="G416" s="741">
        <v>0.1002</v>
      </c>
      <c r="H416" s="739">
        <f t="shared" ref="H416" si="126">IF(F416&lt;=30,(0.7*F416+1.45)*G416,((0.7*30+1.45)+0.58*(F416-30))*G416)</f>
        <v>10.966889999999999</v>
      </c>
      <c r="I416" s="387"/>
      <c r="J416" s="387"/>
      <c r="K416" s="606">
        <f t="shared" si="110"/>
        <v>0</v>
      </c>
      <c r="L416" s="607" t="s">
        <v>777</v>
      </c>
      <c r="M416" s="782"/>
      <c r="N416" s="430"/>
      <c r="O416" s="287">
        <f t="shared" si="102"/>
        <v>0</v>
      </c>
      <c r="P416" s="391">
        <f t="shared" si="103"/>
        <v>0</v>
      </c>
      <c r="Q416" s="288"/>
      <c r="R416" s="315" t="str">
        <f>IF(P415&gt;0,"xy","")</f>
        <v/>
      </c>
      <c r="S416" s="385" t="str">
        <f t="shared" si="107"/>
        <v/>
      </c>
    </row>
    <row r="417" spans="2:19" ht="13.5" hidden="1" thickBot="1">
      <c r="B417" s="609" t="s">
        <v>168</v>
      </c>
      <c r="C417" s="610"/>
      <c r="D417" s="648" t="s">
        <v>257</v>
      </c>
      <c r="E417" s="602"/>
      <c r="F417" s="737">
        <v>500</v>
      </c>
      <c r="G417" s="741">
        <v>1.5100000000000001E-2</v>
      </c>
      <c r="H417" s="740">
        <f>IF(F417&lt;=30,(0.51*F417+4.28)*G417,((0.51*30+4.28)+0.42*(F417-30))*G417)</f>
        <v>3.2763980000000004</v>
      </c>
      <c r="I417" s="387"/>
      <c r="J417" s="387"/>
      <c r="K417" s="606">
        <f t="shared" si="110"/>
        <v>0</v>
      </c>
      <c r="L417" s="607" t="s">
        <v>777</v>
      </c>
      <c r="M417" s="782"/>
      <c r="N417" s="430"/>
      <c r="O417" s="287">
        <f t="shared" si="102"/>
        <v>0</v>
      </c>
      <c r="P417" s="391">
        <f t="shared" si="103"/>
        <v>0</v>
      </c>
      <c r="Q417" s="288"/>
      <c r="R417" s="315" t="str">
        <f>IF(P415&gt;0,"xy","")</f>
        <v/>
      </c>
      <c r="S417" s="385" t="str">
        <f t="shared" si="107"/>
        <v/>
      </c>
    </row>
    <row r="418" spans="2:19" ht="13.5" hidden="1" thickBot="1">
      <c r="B418" s="609" t="s">
        <v>168</v>
      </c>
      <c r="C418" s="610"/>
      <c r="D418" s="648" t="s">
        <v>270</v>
      </c>
      <c r="E418" s="602"/>
      <c r="F418" s="737">
        <v>0.2</v>
      </c>
      <c r="G418" s="741">
        <v>0.82969999999999999</v>
      </c>
      <c r="H418" s="740">
        <f>IF(F418=0,0,IF(F418&lt;=30,(0.7*F418+1.45)*G418,((0.7*30+1.45)+0.58*(F418-30))*G418))</f>
        <v>1.3192229999999998</v>
      </c>
      <c r="I418" s="387"/>
      <c r="J418" s="387"/>
      <c r="K418" s="606">
        <f t="shared" si="110"/>
        <v>0</v>
      </c>
      <c r="L418" s="607" t="s">
        <v>777</v>
      </c>
      <c r="M418" s="782"/>
      <c r="N418" s="430"/>
      <c r="O418" s="287">
        <f t="shared" si="102"/>
        <v>0</v>
      </c>
      <c r="P418" s="391">
        <f t="shared" si="103"/>
        <v>0</v>
      </c>
      <c r="Q418" s="288"/>
      <c r="R418" s="315" t="str">
        <f>IF(P415&gt;0,"xy","")</f>
        <v/>
      </c>
      <c r="S418" s="385" t="str">
        <f t="shared" si="107"/>
        <v/>
      </c>
    </row>
    <row r="419" spans="2:19" ht="13.5" hidden="1" thickBot="1">
      <c r="B419" s="609" t="s">
        <v>168</v>
      </c>
      <c r="C419" s="610"/>
      <c r="D419" s="648" t="s">
        <v>271</v>
      </c>
      <c r="E419" s="602"/>
      <c r="F419" s="737">
        <v>20</v>
      </c>
      <c r="G419" s="741">
        <f>SUM(G415:G418)</f>
        <v>1</v>
      </c>
      <c r="H419" s="740">
        <f>IF(F419&lt;=30,(0.7*F419+3.5)*G419,((0.7*30+3.5)+0.58*(F419-30))*G419)</f>
        <v>17.5</v>
      </c>
      <c r="I419" s="387"/>
      <c r="J419" s="387"/>
      <c r="K419" s="606">
        <f t="shared" si="110"/>
        <v>0</v>
      </c>
      <c r="L419" s="607" t="s">
        <v>777</v>
      </c>
      <c r="M419" s="782"/>
      <c r="N419" s="430"/>
      <c r="O419" s="287">
        <f t="shared" si="102"/>
        <v>0</v>
      </c>
      <c r="P419" s="391">
        <f t="shared" si="103"/>
        <v>0</v>
      </c>
      <c r="Q419" s="288"/>
      <c r="R419" s="243" t="str">
        <f>IF(P415&gt;0,"xy","")</f>
        <v/>
      </c>
      <c r="S419" s="385" t="str">
        <f t="shared" si="107"/>
        <v/>
      </c>
    </row>
    <row r="420" spans="2:19" ht="13.5" hidden="1" thickBot="1">
      <c r="B420" s="633" t="s">
        <v>1963</v>
      </c>
      <c r="C420" s="715" t="s">
        <v>241</v>
      </c>
      <c r="D420" s="646" t="s">
        <v>826</v>
      </c>
      <c r="E420" s="704"/>
      <c r="F420" s="742">
        <v>500</v>
      </c>
      <c r="G420" s="743">
        <v>1</v>
      </c>
      <c r="H420" s="744">
        <f>(0.58*F420+28.61)*G420</f>
        <v>318.61</v>
      </c>
      <c r="I420" s="733">
        <v>5118.8900000000003</v>
      </c>
      <c r="J420" s="733">
        <f>IF(ISBLANK(I420),"",I420*(1+$F$9)/(1+$F$10))+H420</f>
        <v>5181.4500428512565</v>
      </c>
      <c r="K420" s="658">
        <f t="shared" si="110"/>
        <v>6287.69</v>
      </c>
      <c r="L420" s="705" t="s">
        <v>20</v>
      </c>
      <c r="M420" s="777">
        <f>ROUND(M415*G415,2)</f>
        <v>0</v>
      </c>
      <c r="N420" s="783"/>
      <c r="O420" s="439">
        <f t="shared" si="102"/>
        <v>0</v>
      </c>
      <c r="P420" s="439">
        <f t="shared" si="103"/>
        <v>0</v>
      </c>
      <c r="Q420" s="288"/>
      <c r="R420" s="315" t="str">
        <f>IF(P240&gt;0,"xy","")</f>
        <v/>
      </c>
      <c r="S420" s="385" t="str">
        <f t="shared" si="107"/>
        <v/>
      </c>
    </row>
    <row r="421" spans="2:19" ht="16.5" hidden="1" thickBot="1">
      <c r="B421" s="632" t="s">
        <v>2008</v>
      </c>
      <c r="C421" s="714" t="s">
        <v>212</v>
      </c>
      <c r="D421" s="645" t="s">
        <v>2092</v>
      </c>
      <c r="E421" s="701"/>
      <c r="F421" s="734" t="s">
        <v>829</v>
      </c>
      <c r="G421" s="735">
        <v>5.7000000000000002E-2</v>
      </c>
      <c r="H421" s="736">
        <f>SUM(H422:H425)</f>
        <v>33.016220000000004</v>
      </c>
      <c r="I421" s="732">
        <v>127</v>
      </c>
      <c r="J421" s="732">
        <f t="shared" ref="J421" si="127">IF(ISBLANK(I421),"",SUM(H421:I421))</f>
        <v>160.01622</v>
      </c>
      <c r="K421" s="621">
        <f t="shared" si="110"/>
        <v>194.18</v>
      </c>
      <c r="L421" s="702" t="s">
        <v>20</v>
      </c>
      <c r="M421" s="780"/>
      <c r="N421" s="781"/>
      <c r="O421" s="434">
        <f t="shared" si="102"/>
        <v>0</v>
      </c>
      <c r="P421" s="435">
        <f t="shared" si="103"/>
        <v>0</v>
      </c>
      <c r="Q421" s="288"/>
      <c r="R421" s="243"/>
      <c r="S421" s="385" t="str">
        <f t="shared" si="107"/>
        <v/>
      </c>
    </row>
    <row r="422" spans="2:19" ht="13.5" hidden="1" thickBot="1">
      <c r="B422" s="609" t="s">
        <v>168</v>
      </c>
      <c r="C422" s="610"/>
      <c r="D422" s="648" t="s">
        <v>256</v>
      </c>
      <c r="E422" s="602"/>
      <c r="F422" s="737">
        <v>180</v>
      </c>
      <c r="G422" s="741">
        <v>0.1</v>
      </c>
      <c r="H422" s="739">
        <f t="shared" ref="H422" si="128">IF(F422&lt;=30,(0.7*F422+1.45)*G422,((0.7*30+1.45)+0.58*(F422-30))*G422)</f>
        <v>10.945</v>
      </c>
      <c r="I422" s="387"/>
      <c r="J422" s="387"/>
      <c r="K422" s="606">
        <f t="shared" si="110"/>
        <v>0</v>
      </c>
      <c r="L422" s="607" t="s">
        <v>777</v>
      </c>
      <c r="M422" s="782"/>
      <c r="N422" s="430"/>
      <c r="O422" s="287">
        <f t="shared" si="102"/>
        <v>0</v>
      </c>
      <c r="P422" s="391">
        <f t="shared" si="103"/>
        <v>0</v>
      </c>
      <c r="Q422" s="288"/>
      <c r="R422" s="315" t="str">
        <f>IF(P421&gt;0,"xy","")</f>
        <v/>
      </c>
      <c r="S422" s="385" t="str">
        <f t="shared" si="107"/>
        <v/>
      </c>
    </row>
    <row r="423" spans="2:19" ht="13.5" hidden="1" thickBot="1">
      <c r="B423" s="609" t="s">
        <v>168</v>
      </c>
      <c r="C423" s="610"/>
      <c r="D423" s="648" t="s">
        <v>257</v>
      </c>
      <c r="E423" s="602"/>
      <c r="F423" s="737">
        <v>500</v>
      </c>
      <c r="G423" s="741">
        <v>1.4999999999999999E-2</v>
      </c>
      <c r="H423" s="740">
        <f>IF(F423&lt;=30,(0.51*F423+4.28)*G423,((0.51*30+4.28)+0.42*(F423-30))*G423)</f>
        <v>3.2547000000000001</v>
      </c>
      <c r="I423" s="387"/>
      <c r="J423" s="387"/>
      <c r="K423" s="606">
        <f t="shared" si="110"/>
        <v>0</v>
      </c>
      <c r="L423" s="607" t="s">
        <v>777</v>
      </c>
      <c r="M423" s="782"/>
      <c r="N423" s="430"/>
      <c r="O423" s="287">
        <f t="shared" si="102"/>
        <v>0</v>
      </c>
      <c r="P423" s="391">
        <f t="shared" si="103"/>
        <v>0</v>
      </c>
      <c r="Q423" s="288"/>
      <c r="R423" s="315" t="str">
        <f>IF(P421&gt;0,"xy","")</f>
        <v/>
      </c>
      <c r="S423" s="385" t="str">
        <f t="shared" ref="S423:S492" si="129">IF(R423="x","x",IF(R423="y","x",IF(R423="xy","x",IF(P423&gt;0,"x",""))))</f>
        <v/>
      </c>
    </row>
    <row r="424" spans="2:19" ht="13.5" hidden="1" thickBot="1">
      <c r="B424" s="609" t="s">
        <v>168</v>
      </c>
      <c r="C424" s="610"/>
      <c r="D424" s="648" t="s">
        <v>270</v>
      </c>
      <c r="E424" s="602"/>
      <c r="F424" s="737">
        <v>0.2</v>
      </c>
      <c r="G424" s="741">
        <v>0.82799999999999996</v>
      </c>
      <c r="H424" s="740">
        <f>IF(F424=0,0,IF(F424&lt;=30,(0.7*F424+1.45)*G424,((0.7*30+1.45)+0.58*(F424-30))*G424))</f>
        <v>1.3165199999999999</v>
      </c>
      <c r="I424" s="387"/>
      <c r="J424" s="387"/>
      <c r="K424" s="606">
        <f t="shared" si="110"/>
        <v>0</v>
      </c>
      <c r="L424" s="607" t="s">
        <v>777</v>
      </c>
      <c r="M424" s="782"/>
      <c r="N424" s="430"/>
      <c r="O424" s="287">
        <f t="shared" si="102"/>
        <v>0</v>
      </c>
      <c r="P424" s="391">
        <f t="shared" si="103"/>
        <v>0</v>
      </c>
      <c r="Q424" s="288"/>
      <c r="R424" s="315" t="str">
        <f>IF(P421&gt;0,"xy","")</f>
        <v/>
      </c>
      <c r="S424" s="385" t="str">
        <f t="shared" si="129"/>
        <v/>
      </c>
    </row>
    <row r="425" spans="2:19" ht="13.5" hidden="1" thickBot="1">
      <c r="B425" s="609" t="s">
        <v>168</v>
      </c>
      <c r="C425" s="610"/>
      <c r="D425" s="648" t="s">
        <v>271</v>
      </c>
      <c r="E425" s="602"/>
      <c r="F425" s="737">
        <v>20</v>
      </c>
      <c r="G425" s="741">
        <f>SUM(G421:G424)</f>
        <v>1</v>
      </c>
      <c r="H425" s="740">
        <f>IF(F425&lt;=30,(0.7*F425+3.5)*G425,((0.7*30+3.5)+0.58*(F425-30))*G425)</f>
        <v>17.5</v>
      </c>
      <c r="I425" s="387"/>
      <c r="J425" s="387"/>
      <c r="K425" s="606">
        <f t="shared" si="110"/>
        <v>0</v>
      </c>
      <c r="L425" s="607" t="s">
        <v>777</v>
      </c>
      <c r="M425" s="782"/>
      <c r="N425" s="430"/>
      <c r="O425" s="287">
        <f t="shared" si="102"/>
        <v>0</v>
      </c>
      <c r="P425" s="391">
        <f t="shared" si="103"/>
        <v>0</v>
      </c>
      <c r="Q425" s="288"/>
      <c r="R425" s="243" t="str">
        <f>IF(P421&gt;0,"xy","")</f>
        <v/>
      </c>
      <c r="S425" s="385" t="str">
        <f t="shared" si="129"/>
        <v/>
      </c>
    </row>
    <row r="426" spans="2:19" ht="13.5" hidden="1" thickBot="1">
      <c r="B426" s="633" t="s">
        <v>1964</v>
      </c>
      <c r="C426" s="715" t="s">
        <v>241</v>
      </c>
      <c r="D426" s="646" t="s">
        <v>826</v>
      </c>
      <c r="E426" s="704"/>
      <c r="F426" s="742">
        <v>500</v>
      </c>
      <c r="G426" s="743">
        <v>1</v>
      </c>
      <c r="H426" s="744">
        <f>(0.58*F426+28.61)*G426</f>
        <v>318.61</v>
      </c>
      <c r="I426" s="733">
        <v>5118.8900000000003</v>
      </c>
      <c r="J426" s="733">
        <f>IF(ISBLANK(I426),"",I426*(1+$F$9)/(1+$F$10))+H426</f>
        <v>5181.4500428512565</v>
      </c>
      <c r="K426" s="658">
        <f t="shared" si="110"/>
        <v>6287.69</v>
      </c>
      <c r="L426" s="705" t="s">
        <v>20</v>
      </c>
      <c r="M426" s="777">
        <f>ROUND(M421*G421,2)</f>
        <v>0</v>
      </c>
      <c r="N426" s="783"/>
      <c r="O426" s="439">
        <f t="shared" si="102"/>
        <v>0</v>
      </c>
      <c r="P426" s="439">
        <f t="shared" si="103"/>
        <v>0</v>
      </c>
      <c r="Q426" s="288"/>
      <c r="R426" s="315" t="str">
        <f>IF(P246&gt;0,"xy","")</f>
        <v/>
      </c>
      <c r="S426" s="385" t="str">
        <f t="shared" si="129"/>
        <v/>
      </c>
    </row>
    <row r="427" spans="2:19" ht="26.25" hidden="1" thickBot="1">
      <c r="B427" s="632">
        <v>570360</v>
      </c>
      <c r="C427" s="714" t="s">
        <v>212</v>
      </c>
      <c r="D427" s="645" t="s">
        <v>272</v>
      </c>
      <c r="E427" s="701"/>
      <c r="F427" s="787" t="s">
        <v>831</v>
      </c>
      <c r="G427" s="735">
        <v>5.8999999999999997E-2</v>
      </c>
      <c r="H427" s="736">
        <f>SUM(H428:H431)</f>
        <v>33.013040000000004</v>
      </c>
      <c r="I427" s="732">
        <v>136.29</v>
      </c>
      <c r="J427" s="732">
        <f t="shared" si="124"/>
        <v>169.30304000000001</v>
      </c>
      <c r="K427" s="621">
        <f t="shared" si="110"/>
        <v>205.45</v>
      </c>
      <c r="L427" s="702" t="s">
        <v>20</v>
      </c>
      <c r="M427" s="780"/>
      <c r="N427" s="781"/>
      <c r="O427" s="434">
        <f t="shared" si="102"/>
        <v>0</v>
      </c>
      <c r="P427" s="435">
        <f t="shared" si="103"/>
        <v>0</v>
      </c>
      <c r="Q427" s="288"/>
      <c r="R427" s="243"/>
      <c r="S427" s="385" t="str">
        <f t="shared" si="129"/>
        <v/>
      </c>
    </row>
    <row r="428" spans="2:19" ht="13.5" hidden="1" thickBot="1">
      <c r="B428" s="609" t="s">
        <v>168</v>
      </c>
      <c r="C428" s="610"/>
      <c r="D428" s="648" t="s">
        <v>256</v>
      </c>
      <c r="E428" s="602"/>
      <c r="F428" s="737">
        <v>180</v>
      </c>
      <c r="G428" s="741">
        <v>0.1</v>
      </c>
      <c r="H428" s="739">
        <f t="shared" ref="H428" si="130">IF(F428&lt;=30,(0.7*F428+1.45)*G428,((0.7*30+1.45)+0.58*(F428-30))*G428)</f>
        <v>10.945</v>
      </c>
      <c r="I428" s="387"/>
      <c r="J428" s="387"/>
      <c r="K428" s="606">
        <f t="shared" si="110"/>
        <v>0</v>
      </c>
      <c r="L428" s="607" t="s">
        <v>777</v>
      </c>
      <c r="M428" s="782"/>
      <c r="N428" s="430"/>
      <c r="O428" s="287">
        <f t="shared" si="102"/>
        <v>0</v>
      </c>
      <c r="P428" s="391">
        <f t="shared" si="103"/>
        <v>0</v>
      </c>
      <c r="Q428" s="288"/>
      <c r="R428" s="315" t="str">
        <f>IF(P427&gt;0,"xy","")</f>
        <v/>
      </c>
      <c r="S428" s="385" t="str">
        <f t="shared" si="129"/>
        <v/>
      </c>
    </row>
    <row r="429" spans="2:19" ht="13.5" hidden="1" thickBot="1">
      <c r="B429" s="609" t="s">
        <v>168</v>
      </c>
      <c r="C429" s="610"/>
      <c r="D429" s="648" t="s">
        <v>257</v>
      </c>
      <c r="E429" s="602"/>
      <c r="F429" s="737">
        <v>500</v>
      </c>
      <c r="G429" s="741">
        <v>1.4999999999999999E-2</v>
      </c>
      <c r="H429" s="740">
        <f>IF(F429&lt;=30,(0.51*F429+4.28)*G429,((0.51*30+4.28)+0.42*(F429-30))*G429)</f>
        <v>3.2547000000000001</v>
      </c>
      <c r="I429" s="387"/>
      <c r="J429" s="387"/>
      <c r="K429" s="606">
        <f t="shared" si="110"/>
        <v>0</v>
      </c>
      <c r="L429" s="607" t="s">
        <v>777</v>
      </c>
      <c r="M429" s="782"/>
      <c r="N429" s="430"/>
      <c r="O429" s="287">
        <f t="shared" si="102"/>
        <v>0</v>
      </c>
      <c r="P429" s="391">
        <f t="shared" si="103"/>
        <v>0</v>
      </c>
      <c r="Q429" s="288"/>
      <c r="R429" s="315" t="str">
        <f>IF(P427&gt;0,"xy","")</f>
        <v/>
      </c>
      <c r="S429" s="385" t="str">
        <f t="shared" si="129"/>
        <v/>
      </c>
    </row>
    <row r="430" spans="2:19" ht="13.5" hidden="1" thickBot="1">
      <c r="B430" s="609" t="s">
        <v>168</v>
      </c>
      <c r="C430" s="610"/>
      <c r="D430" s="648" t="s">
        <v>270</v>
      </c>
      <c r="E430" s="602"/>
      <c r="F430" s="737">
        <v>0.2</v>
      </c>
      <c r="G430" s="741">
        <v>0.82599999999999996</v>
      </c>
      <c r="H430" s="740">
        <f>IF(F430=0,0,IF(F430&lt;=30,(0.7*F430+1.45)*G430,((0.7*30+1.45)+0.58*(F430-30))*G430))</f>
        <v>1.3133399999999997</v>
      </c>
      <c r="I430" s="387"/>
      <c r="J430" s="387"/>
      <c r="K430" s="606">
        <f t="shared" si="110"/>
        <v>0</v>
      </c>
      <c r="L430" s="607" t="s">
        <v>777</v>
      </c>
      <c r="M430" s="782"/>
      <c r="N430" s="430"/>
      <c r="O430" s="287">
        <f t="shared" si="102"/>
        <v>0</v>
      </c>
      <c r="P430" s="391">
        <f t="shared" si="103"/>
        <v>0</v>
      </c>
      <c r="Q430" s="288"/>
      <c r="R430" s="315" t="str">
        <f>IF(P427&gt;0,"xy","")</f>
        <v/>
      </c>
      <c r="S430" s="385" t="str">
        <f t="shared" si="129"/>
        <v/>
      </c>
    </row>
    <row r="431" spans="2:19" ht="13.5" hidden="1" thickBot="1">
      <c r="B431" s="609" t="s">
        <v>168</v>
      </c>
      <c r="C431" s="610"/>
      <c r="D431" s="648" t="s">
        <v>271</v>
      </c>
      <c r="E431" s="602"/>
      <c r="F431" s="737">
        <v>20</v>
      </c>
      <c r="G431" s="741">
        <f>SUM(G427:G430)</f>
        <v>1</v>
      </c>
      <c r="H431" s="740">
        <f>IF(F431&lt;=30,(0.7*F431+3.5)*G431,((0.7*30+3.5)+0.58*(F431-30))*G431)</f>
        <v>17.5</v>
      </c>
      <c r="I431" s="387"/>
      <c r="J431" s="387"/>
      <c r="K431" s="606">
        <f t="shared" si="110"/>
        <v>0</v>
      </c>
      <c r="L431" s="607" t="s">
        <v>777</v>
      </c>
      <c r="M431" s="782"/>
      <c r="N431" s="430"/>
      <c r="O431" s="287">
        <f t="shared" si="102"/>
        <v>0</v>
      </c>
      <c r="P431" s="391">
        <f t="shared" si="103"/>
        <v>0</v>
      </c>
      <c r="Q431" s="288"/>
      <c r="R431" s="243" t="str">
        <f>IF(P427&gt;0,"xy","")</f>
        <v/>
      </c>
      <c r="S431" s="385" t="str">
        <f t="shared" si="129"/>
        <v/>
      </c>
    </row>
    <row r="432" spans="2:19" ht="13.5" hidden="1" thickBot="1">
      <c r="B432" s="633">
        <v>589040</v>
      </c>
      <c r="C432" s="715" t="s">
        <v>241</v>
      </c>
      <c r="D432" s="646" t="s">
        <v>827</v>
      </c>
      <c r="E432" s="704"/>
      <c r="F432" s="742">
        <v>500</v>
      </c>
      <c r="G432" s="743">
        <v>1</v>
      </c>
      <c r="H432" s="744">
        <f>(0.58*F432+28.61)*G432</f>
        <v>318.61</v>
      </c>
      <c r="I432" s="733">
        <v>6060.94</v>
      </c>
      <c r="J432" s="733">
        <f>IF(ISBLANK(I432),"",I432*(1+$F$9)/(1+$F$10))+H432</f>
        <v>6076.3781351462703</v>
      </c>
      <c r="K432" s="658">
        <f t="shared" si="110"/>
        <v>7373.68</v>
      </c>
      <c r="L432" s="705" t="s">
        <v>20</v>
      </c>
      <c r="M432" s="777">
        <f>ROUND(M427*G427,2)</f>
        <v>0</v>
      </c>
      <c r="N432" s="783"/>
      <c r="O432" s="439">
        <f t="shared" si="102"/>
        <v>0</v>
      </c>
      <c r="P432" s="439">
        <f t="shared" si="103"/>
        <v>0</v>
      </c>
      <c r="Q432" s="288"/>
      <c r="R432" s="315" t="str">
        <f>IF(P252&gt;0,"xy","")</f>
        <v/>
      </c>
      <c r="S432" s="385" t="str">
        <f t="shared" si="129"/>
        <v/>
      </c>
    </row>
    <row r="433" spans="2:19" ht="26.25" hidden="1" thickBot="1">
      <c r="B433" s="632">
        <v>570350</v>
      </c>
      <c r="C433" s="714" t="s">
        <v>212</v>
      </c>
      <c r="D433" s="645" t="s">
        <v>2096</v>
      </c>
      <c r="E433" s="701"/>
      <c r="F433" s="787" t="s">
        <v>832</v>
      </c>
      <c r="G433" s="735">
        <v>0.06</v>
      </c>
      <c r="H433" s="736">
        <f>SUM(H434:H437)</f>
        <v>33.011449999999996</v>
      </c>
      <c r="I433" s="732">
        <v>144.29</v>
      </c>
      <c r="J433" s="732">
        <f t="shared" ref="J433" si="131">IF(ISBLANK(I433),"",SUM(H433:I433))</f>
        <v>177.30144999999999</v>
      </c>
      <c r="K433" s="621">
        <f t="shared" si="110"/>
        <v>215.16</v>
      </c>
      <c r="L433" s="702" t="s">
        <v>833</v>
      </c>
      <c r="M433" s="780"/>
      <c r="N433" s="781"/>
      <c r="O433" s="434">
        <f t="shared" si="102"/>
        <v>0</v>
      </c>
      <c r="P433" s="435">
        <f t="shared" si="103"/>
        <v>0</v>
      </c>
      <c r="Q433" s="288"/>
      <c r="R433" s="243"/>
      <c r="S433" s="385" t="str">
        <f t="shared" si="129"/>
        <v/>
      </c>
    </row>
    <row r="434" spans="2:19" ht="13.5" hidden="1" thickBot="1">
      <c r="B434" s="609" t="s">
        <v>168</v>
      </c>
      <c r="C434" s="610"/>
      <c r="D434" s="648" t="s">
        <v>256</v>
      </c>
      <c r="E434" s="602"/>
      <c r="F434" s="737">
        <v>180</v>
      </c>
      <c r="G434" s="741">
        <v>0.1</v>
      </c>
      <c r="H434" s="739">
        <f t="shared" ref="H434" si="132">IF(F434&lt;=30,(0.7*F434+1.45)*G434,((0.7*30+1.45)+0.58*(F434-30))*G434)</f>
        <v>10.945</v>
      </c>
      <c r="I434" s="387"/>
      <c r="J434" s="387"/>
      <c r="K434" s="606">
        <f t="shared" si="110"/>
        <v>0</v>
      </c>
      <c r="L434" s="607" t="s">
        <v>777</v>
      </c>
      <c r="M434" s="782"/>
      <c r="N434" s="430"/>
      <c r="O434" s="287">
        <f t="shared" si="102"/>
        <v>0</v>
      </c>
      <c r="P434" s="391">
        <f t="shared" si="103"/>
        <v>0</v>
      </c>
      <c r="Q434" s="288"/>
      <c r="R434" s="315" t="str">
        <f>IF(P433&gt;0,"xy","")</f>
        <v/>
      </c>
      <c r="S434" s="385" t="str">
        <f t="shared" si="129"/>
        <v/>
      </c>
    </row>
    <row r="435" spans="2:19" ht="13.5" hidden="1" thickBot="1">
      <c r="B435" s="609" t="s">
        <v>168</v>
      </c>
      <c r="C435" s="610"/>
      <c r="D435" s="648" t="s">
        <v>257</v>
      </c>
      <c r="E435" s="602"/>
      <c r="F435" s="737">
        <v>500</v>
      </c>
      <c r="G435" s="741">
        <v>1.4999999999999999E-2</v>
      </c>
      <c r="H435" s="740">
        <f>IF(F435&lt;=30,(0.51*F435+4.28)*G435,((0.51*30+4.28)+0.42*(F435-30))*G435)</f>
        <v>3.2547000000000001</v>
      </c>
      <c r="I435" s="387"/>
      <c r="J435" s="387"/>
      <c r="K435" s="606">
        <f t="shared" si="110"/>
        <v>0</v>
      </c>
      <c r="L435" s="607" t="s">
        <v>777</v>
      </c>
      <c r="M435" s="782"/>
      <c r="N435" s="430"/>
      <c r="O435" s="287">
        <f t="shared" si="102"/>
        <v>0</v>
      </c>
      <c r="P435" s="391">
        <f t="shared" si="103"/>
        <v>0</v>
      </c>
      <c r="Q435" s="288"/>
      <c r="R435" s="315" t="str">
        <f>IF(P433&gt;0,"xy","")</f>
        <v/>
      </c>
      <c r="S435" s="385" t="str">
        <f t="shared" si="129"/>
        <v/>
      </c>
    </row>
    <row r="436" spans="2:19" ht="13.5" hidden="1" thickBot="1">
      <c r="B436" s="609" t="s">
        <v>168</v>
      </c>
      <c r="C436" s="610"/>
      <c r="D436" s="648" t="s">
        <v>270</v>
      </c>
      <c r="E436" s="602"/>
      <c r="F436" s="737">
        <v>0.2</v>
      </c>
      <c r="G436" s="741">
        <v>0.82499999999999996</v>
      </c>
      <c r="H436" s="740">
        <f>IF(F436=0,0,IF(F436&lt;=30,(0.7*F436+1.45)*G436,((0.7*30+1.45)+0.58*(F436-30))*G436))</f>
        <v>1.3117499999999997</v>
      </c>
      <c r="I436" s="387"/>
      <c r="J436" s="387"/>
      <c r="K436" s="606">
        <f t="shared" si="110"/>
        <v>0</v>
      </c>
      <c r="L436" s="607" t="s">
        <v>777</v>
      </c>
      <c r="M436" s="782"/>
      <c r="N436" s="430"/>
      <c r="O436" s="287">
        <f t="shared" si="102"/>
        <v>0</v>
      </c>
      <c r="P436" s="391">
        <f t="shared" si="103"/>
        <v>0</v>
      </c>
      <c r="Q436" s="288"/>
      <c r="R436" s="315" t="str">
        <f>IF(P433&gt;0,"xy","")</f>
        <v/>
      </c>
      <c r="S436" s="385" t="str">
        <f t="shared" si="129"/>
        <v/>
      </c>
    </row>
    <row r="437" spans="2:19" ht="13.5" hidden="1" thickBot="1">
      <c r="B437" s="609" t="s">
        <v>168</v>
      </c>
      <c r="C437" s="610"/>
      <c r="D437" s="648" t="s">
        <v>271</v>
      </c>
      <c r="E437" s="602"/>
      <c r="F437" s="737">
        <v>20</v>
      </c>
      <c r="G437" s="741">
        <f>SUM(G433:G436)</f>
        <v>1</v>
      </c>
      <c r="H437" s="740">
        <f>IF(F437&lt;=30,(0.7*F437+3.5)*G437,((0.7*30+3.5)+0.58*(F437-30))*G437)</f>
        <v>17.5</v>
      </c>
      <c r="I437" s="387"/>
      <c r="J437" s="387"/>
      <c r="K437" s="606">
        <f t="shared" si="110"/>
        <v>0</v>
      </c>
      <c r="L437" s="607" t="s">
        <v>777</v>
      </c>
      <c r="M437" s="782"/>
      <c r="N437" s="430"/>
      <c r="O437" s="287">
        <f t="shared" si="102"/>
        <v>0</v>
      </c>
      <c r="P437" s="391">
        <f t="shared" si="103"/>
        <v>0</v>
      </c>
      <c r="Q437" s="288"/>
      <c r="R437" s="243" t="str">
        <f>IF(P433&gt;0,"xy","")</f>
        <v/>
      </c>
      <c r="S437" s="385" t="str">
        <f t="shared" si="129"/>
        <v/>
      </c>
    </row>
    <row r="438" spans="2:19" ht="13.5" hidden="1" thickBot="1">
      <c r="B438" s="633">
        <v>589050</v>
      </c>
      <c r="C438" s="715" t="s">
        <v>241</v>
      </c>
      <c r="D438" s="646" t="s">
        <v>2097</v>
      </c>
      <c r="E438" s="704"/>
      <c r="F438" s="742">
        <v>500</v>
      </c>
      <c r="G438" s="743">
        <v>1</v>
      </c>
      <c r="H438" s="744">
        <f>(0.58*F438+28.61)*G438</f>
        <v>318.61</v>
      </c>
      <c r="I438" s="733">
        <v>5880.51</v>
      </c>
      <c r="J438" s="733">
        <f>IF(ISBLANK(I438),"",I438*(1+$F$9)/(1+$F$10))+H438</f>
        <v>5904.9733522867737</v>
      </c>
      <c r="K438" s="658">
        <f t="shared" si="110"/>
        <v>7165.69</v>
      </c>
      <c r="L438" s="705" t="s">
        <v>20</v>
      </c>
      <c r="M438" s="777">
        <f>ROUND(M433*G433,2)</f>
        <v>0</v>
      </c>
      <c r="N438" s="783"/>
      <c r="O438" s="440">
        <f t="shared" si="102"/>
        <v>0</v>
      </c>
      <c r="P438" s="441">
        <f t="shared" si="103"/>
        <v>0</v>
      </c>
      <c r="Q438" s="288"/>
      <c r="R438" s="315" t="str">
        <f>IF(P252&gt;0,"xy","")</f>
        <v/>
      </c>
      <c r="S438" s="385" t="str">
        <f t="shared" si="129"/>
        <v/>
      </c>
    </row>
    <row r="439" spans="2:19" ht="26.25" hidden="1" thickBot="1">
      <c r="B439" s="632">
        <v>570350</v>
      </c>
      <c r="C439" s="714" t="s">
        <v>212</v>
      </c>
      <c r="D439" s="645" t="s">
        <v>2098</v>
      </c>
      <c r="E439" s="701"/>
      <c r="F439" s="787" t="s">
        <v>832</v>
      </c>
      <c r="G439" s="735">
        <v>0.06</v>
      </c>
      <c r="H439" s="736">
        <f>SUM(H440:H443)</f>
        <v>33.011449999999996</v>
      </c>
      <c r="I439" s="732">
        <v>144.29</v>
      </c>
      <c r="J439" s="732">
        <f t="shared" si="124"/>
        <v>177.30144999999999</v>
      </c>
      <c r="K439" s="621">
        <f t="shared" si="110"/>
        <v>215.16</v>
      </c>
      <c r="L439" s="702" t="s">
        <v>833</v>
      </c>
      <c r="M439" s="780"/>
      <c r="N439" s="781"/>
      <c r="O439" s="434">
        <f t="shared" si="102"/>
        <v>0</v>
      </c>
      <c r="P439" s="435">
        <f t="shared" si="103"/>
        <v>0</v>
      </c>
      <c r="Q439" s="288"/>
      <c r="R439" s="243"/>
      <c r="S439" s="385" t="str">
        <f t="shared" si="129"/>
        <v/>
      </c>
    </row>
    <row r="440" spans="2:19" ht="13.5" hidden="1" thickBot="1">
      <c r="B440" s="609" t="s">
        <v>168</v>
      </c>
      <c r="C440" s="610"/>
      <c r="D440" s="648" t="s">
        <v>256</v>
      </c>
      <c r="E440" s="602"/>
      <c r="F440" s="737">
        <v>180</v>
      </c>
      <c r="G440" s="741">
        <v>0.1</v>
      </c>
      <c r="H440" s="739">
        <f t="shared" ref="H440" si="133">IF(F440&lt;=30,(0.7*F440+1.45)*G440,((0.7*30+1.45)+0.58*(F440-30))*G440)</f>
        <v>10.945</v>
      </c>
      <c r="I440" s="387"/>
      <c r="J440" s="387"/>
      <c r="K440" s="606">
        <f t="shared" si="110"/>
        <v>0</v>
      </c>
      <c r="L440" s="607" t="s">
        <v>777</v>
      </c>
      <c r="M440" s="782"/>
      <c r="N440" s="430"/>
      <c r="O440" s="287">
        <f t="shared" si="102"/>
        <v>0</v>
      </c>
      <c r="P440" s="391">
        <f t="shared" si="103"/>
        <v>0</v>
      </c>
      <c r="Q440" s="288"/>
      <c r="R440" s="315" t="str">
        <f>IF(P439&gt;0,"xy","")</f>
        <v/>
      </c>
      <c r="S440" s="385" t="str">
        <f t="shared" si="129"/>
        <v/>
      </c>
    </row>
    <row r="441" spans="2:19" ht="13.5" hidden="1" thickBot="1">
      <c r="B441" s="609" t="s">
        <v>168</v>
      </c>
      <c r="C441" s="610"/>
      <c r="D441" s="648" t="s">
        <v>257</v>
      </c>
      <c r="E441" s="602"/>
      <c r="F441" s="737">
        <v>500</v>
      </c>
      <c r="G441" s="741">
        <v>1.4999999999999999E-2</v>
      </c>
      <c r="H441" s="740">
        <f>IF(F441&lt;=30,(0.51*F441+4.28)*G441,((0.51*30+4.28)+0.42*(F441-30))*G441)</f>
        <v>3.2547000000000001</v>
      </c>
      <c r="I441" s="387"/>
      <c r="J441" s="387"/>
      <c r="K441" s="606">
        <f t="shared" si="110"/>
        <v>0</v>
      </c>
      <c r="L441" s="607" t="s">
        <v>777</v>
      </c>
      <c r="M441" s="782"/>
      <c r="N441" s="430"/>
      <c r="O441" s="287">
        <f t="shared" si="102"/>
        <v>0</v>
      </c>
      <c r="P441" s="391">
        <f t="shared" si="103"/>
        <v>0</v>
      </c>
      <c r="Q441" s="288"/>
      <c r="R441" s="315" t="str">
        <f>IF(P439&gt;0,"xy","")</f>
        <v/>
      </c>
      <c r="S441" s="385" t="str">
        <f t="shared" si="129"/>
        <v/>
      </c>
    </row>
    <row r="442" spans="2:19" ht="13.5" hidden="1" thickBot="1">
      <c r="B442" s="609" t="s">
        <v>168</v>
      </c>
      <c r="C442" s="610"/>
      <c r="D442" s="648" t="s">
        <v>270</v>
      </c>
      <c r="E442" s="602"/>
      <c r="F442" s="737">
        <v>0.2</v>
      </c>
      <c r="G442" s="741">
        <v>0.82499999999999996</v>
      </c>
      <c r="H442" s="740">
        <f>IF(F442=0,0,IF(F442&lt;=30,(0.7*F442+1.45)*G442,((0.7*30+1.45)+0.58*(F442-30))*G442))</f>
        <v>1.3117499999999997</v>
      </c>
      <c r="I442" s="387"/>
      <c r="J442" s="387"/>
      <c r="K442" s="606">
        <f t="shared" si="110"/>
        <v>0</v>
      </c>
      <c r="L442" s="607" t="s">
        <v>777</v>
      </c>
      <c r="M442" s="782"/>
      <c r="N442" s="430"/>
      <c r="O442" s="287">
        <f t="shared" si="102"/>
        <v>0</v>
      </c>
      <c r="P442" s="391">
        <f t="shared" si="103"/>
        <v>0</v>
      </c>
      <c r="Q442" s="288"/>
      <c r="R442" s="315" t="str">
        <f>IF(P439&gt;0,"xy","")</f>
        <v/>
      </c>
      <c r="S442" s="385" t="str">
        <f t="shared" si="129"/>
        <v/>
      </c>
    </row>
    <row r="443" spans="2:19" ht="13.5" hidden="1" thickBot="1">
      <c r="B443" s="609" t="s">
        <v>168</v>
      </c>
      <c r="C443" s="610"/>
      <c r="D443" s="648" t="s">
        <v>271</v>
      </c>
      <c r="E443" s="602"/>
      <c r="F443" s="737">
        <v>20</v>
      </c>
      <c r="G443" s="741">
        <f>SUM(G439:G442)</f>
        <v>1</v>
      </c>
      <c r="H443" s="740">
        <f>IF(F443&lt;=30,(0.7*F443+3.5)*G443,((0.7*30+3.5)+0.58*(F443-30))*G443)</f>
        <v>17.5</v>
      </c>
      <c r="I443" s="387"/>
      <c r="J443" s="387"/>
      <c r="K443" s="606">
        <f t="shared" si="110"/>
        <v>0</v>
      </c>
      <c r="L443" s="607" t="s">
        <v>777</v>
      </c>
      <c r="M443" s="782"/>
      <c r="N443" s="430"/>
      <c r="O443" s="287">
        <f t="shared" si="102"/>
        <v>0</v>
      </c>
      <c r="P443" s="391">
        <f t="shared" si="103"/>
        <v>0</v>
      </c>
      <c r="Q443" s="288"/>
      <c r="R443" s="243" t="str">
        <f>IF(P439&gt;0,"xy","")</f>
        <v/>
      </c>
      <c r="S443" s="385" t="str">
        <f t="shared" si="129"/>
        <v/>
      </c>
    </row>
    <row r="444" spans="2:19" ht="13.5" hidden="1" thickBot="1">
      <c r="B444" s="633">
        <v>589050</v>
      </c>
      <c r="C444" s="715" t="s">
        <v>241</v>
      </c>
      <c r="D444" s="646" t="s">
        <v>2099</v>
      </c>
      <c r="E444" s="704"/>
      <c r="F444" s="742">
        <v>500</v>
      </c>
      <c r="G444" s="743">
        <v>1</v>
      </c>
      <c r="H444" s="744">
        <f>(0.58*F444+28.61)*G444</f>
        <v>318.61</v>
      </c>
      <c r="I444" s="733">
        <v>4715.28</v>
      </c>
      <c r="J444" s="733">
        <f>IF(ISBLANK(I444),"",I444*(1+$F$9)/(1+$F$10))+H444</f>
        <v>4798.0288578491964</v>
      </c>
      <c r="K444" s="658">
        <f t="shared" si="110"/>
        <v>5822.41</v>
      </c>
      <c r="L444" s="705" t="s">
        <v>20</v>
      </c>
      <c r="M444" s="777">
        <f>ROUND(M439*G439,2)</f>
        <v>0</v>
      </c>
      <c r="N444" s="783"/>
      <c r="O444" s="440">
        <f t="shared" si="102"/>
        <v>0</v>
      </c>
      <c r="P444" s="441">
        <f t="shared" si="103"/>
        <v>0</v>
      </c>
      <c r="Q444" s="288"/>
      <c r="R444" s="315" t="str">
        <f>IF(P258&gt;0,"xy","")</f>
        <v/>
      </c>
      <c r="S444" s="385" t="str">
        <f t="shared" si="129"/>
        <v/>
      </c>
    </row>
    <row r="445" spans="2:19" ht="13.5" hidden="1" thickBot="1">
      <c r="B445" s="623">
        <v>505000</v>
      </c>
      <c r="C445" s="638" t="s">
        <v>212</v>
      </c>
      <c r="D445" s="720" t="s">
        <v>273</v>
      </c>
      <c r="E445" s="721"/>
      <c r="F445" s="710">
        <v>20</v>
      </c>
      <c r="G445" s="722">
        <v>2.4</v>
      </c>
      <c r="H445" s="608">
        <f t="shared" ref="H445:H446" si="134">IF(F445&lt;=30,(0.7*F445+1.45)*G445,((0.7*30+1.45)+0.58*(F445-30))*G445)</f>
        <v>37.08</v>
      </c>
      <c r="I445" s="671">
        <v>187.35</v>
      </c>
      <c r="J445" s="671">
        <f t="shared" ref="J445:J446" si="135">IF(ISBLANK(I445),"",SUM(H445:I445))</f>
        <v>224.43</v>
      </c>
      <c r="K445" s="640">
        <f t="shared" si="110"/>
        <v>272.35000000000002</v>
      </c>
      <c r="L445" s="672" t="s">
        <v>16</v>
      </c>
      <c r="M445" s="30"/>
      <c r="N445" s="30"/>
      <c r="O445" s="386">
        <f t="shared" si="102"/>
        <v>0</v>
      </c>
      <c r="P445" s="386">
        <f t="shared" si="103"/>
        <v>0</v>
      </c>
      <c r="Q445" s="288"/>
      <c r="R445" s="243"/>
      <c r="S445" s="385" t="str">
        <f t="shared" si="129"/>
        <v/>
      </c>
    </row>
    <row r="446" spans="2:19" ht="13.5" hidden="1" thickBot="1">
      <c r="B446" s="609">
        <v>505100</v>
      </c>
      <c r="C446" s="610" t="s">
        <v>212</v>
      </c>
      <c r="D446" s="611" t="s">
        <v>274</v>
      </c>
      <c r="E446" s="602"/>
      <c r="F446" s="603">
        <v>20</v>
      </c>
      <c r="G446" s="604">
        <v>2.4</v>
      </c>
      <c r="H446" s="608">
        <f t="shared" si="134"/>
        <v>37.08</v>
      </c>
      <c r="I446" s="675">
        <v>212.2</v>
      </c>
      <c r="J446" s="675">
        <f t="shared" si="135"/>
        <v>249.27999999999997</v>
      </c>
      <c r="K446" s="606">
        <f t="shared" si="110"/>
        <v>302.5</v>
      </c>
      <c r="L446" s="607" t="s">
        <v>16</v>
      </c>
      <c r="M446" s="425"/>
      <c r="N446" s="425"/>
      <c r="O446" s="287">
        <f t="shared" si="102"/>
        <v>0</v>
      </c>
      <c r="P446" s="391">
        <f t="shared" si="103"/>
        <v>0</v>
      </c>
      <c r="Q446" s="288"/>
      <c r="R446" s="243"/>
      <c r="S446" s="385" t="str">
        <f t="shared" si="129"/>
        <v/>
      </c>
    </row>
    <row r="447" spans="2:19" ht="13.5" hidden="1" thickBot="1">
      <c r="B447" s="624" t="s">
        <v>187</v>
      </c>
      <c r="C447" s="393"/>
      <c r="D447" s="394" t="s">
        <v>232</v>
      </c>
      <c r="E447" s="395"/>
      <c r="F447" s="396"/>
      <c r="G447" s="397"/>
      <c r="H447" s="398"/>
      <c r="I447" s="399"/>
      <c r="J447" s="399"/>
      <c r="K447" s="399"/>
      <c r="L447" s="399" t="s">
        <v>777</v>
      </c>
      <c r="M447" s="398"/>
      <c r="N447" s="399"/>
      <c r="O447" s="399"/>
      <c r="P447" s="400"/>
      <c r="Q447" s="288"/>
      <c r="R447" s="384" t="str">
        <f>IF(SUM(P448:P472)&gt;0,"y","")</f>
        <v/>
      </c>
      <c r="S447" s="385" t="str">
        <f t="shared" si="129"/>
        <v/>
      </c>
    </row>
    <row r="448" spans="2:19" ht="26.25" hidden="1" thickBot="1">
      <c r="B448" s="625">
        <v>94994</v>
      </c>
      <c r="C448" s="401" t="s">
        <v>843</v>
      </c>
      <c r="D448" s="402" t="s">
        <v>2103</v>
      </c>
      <c r="E448" s="403"/>
      <c r="F448" s="411"/>
      <c r="G448" s="405"/>
      <c r="H448" s="404"/>
      <c r="I448" s="406"/>
      <c r="J448" s="407"/>
      <c r="K448" s="408"/>
      <c r="L448" s="409"/>
      <c r="M448" s="425"/>
      <c r="N448" s="425"/>
      <c r="O448" s="287">
        <f t="shared" ref="O448" si="136">IF(ISBLANK(M448),0,ROUND(K448*M448,2))</f>
        <v>0</v>
      </c>
      <c r="P448" s="391">
        <f t="shared" ref="P448:P472" si="137">IF(ISBLANK(N448),0,ROUND(M448*N448,2))</f>
        <v>0</v>
      </c>
      <c r="Q448" s="288"/>
      <c r="R448" s="243"/>
      <c r="S448" s="385" t="str">
        <f t="shared" si="129"/>
        <v/>
      </c>
    </row>
    <row r="449" spans="2:19" ht="13.5" hidden="1" thickBot="1">
      <c r="B449" s="625" t="s">
        <v>187</v>
      </c>
      <c r="C449" s="401" t="s">
        <v>187</v>
      </c>
      <c r="D449" s="410"/>
      <c r="E449" s="403"/>
      <c r="F449" s="411"/>
      <c r="G449" s="405"/>
      <c r="H449" s="404"/>
      <c r="I449" s="406"/>
      <c r="J449" s="407"/>
      <c r="K449" s="412">
        <f t="shared" ref="K449:K472" si="138">IF(ISBLANK(J449),0,ROUND(J449*(1+$F$10)*(1+$F$11*E449),2))</f>
        <v>0</v>
      </c>
      <c r="L449" s="409" t="s">
        <v>777</v>
      </c>
      <c r="M449" s="30"/>
      <c r="N449" s="30"/>
      <c r="O449" s="287">
        <f>IF(ISBLANK(M449),0,ROUND(K449*M449,2))</f>
        <v>0</v>
      </c>
      <c r="P449" s="287">
        <f t="shared" si="137"/>
        <v>0</v>
      </c>
      <c r="Q449" s="288"/>
      <c r="R449" s="243"/>
      <c r="S449" s="385" t="str">
        <f t="shared" si="129"/>
        <v/>
      </c>
    </row>
    <row r="450" spans="2:19" ht="13.5" hidden="1" thickBot="1">
      <c r="B450" s="625" t="s">
        <v>187</v>
      </c>
      <c r="C450" s="401" t="s">
        <v>187</v>
      </c>
      <c r="D450" s="410"/>
      <c r="E450" s="403"/>
      <c r="F450" s="411"/>
      <c r="G450" s="405"/>
      <c r="H450" s="404"/>
      <c r="I450" s="406"/>
      <c r="J450" s="407"/>
      <c r="K450" s="412">
        <f t="shared" si="138"/>
        <v>0</v>
      </c>
      <c r="L450" s="409" t="s">
        <v>777</v>
      </c>
      <c r="M450" s="30"/>
      <c r="N450" s="30"/>
      <c r="O450" s="287">
        <f t="shared" ref="O450:O472" si="139">IF(ISBLANK(M450),0,ROUND(K450*M450,2))</f>
        <v>0</v>
      </c>
      <c r="P450" s="287">
        <f t="shared" si="137"/>
        <v>0</v>
      </c>
      <c r="Q450" s="288"/>
      <c r="R450" s="243"/>
      <c r="S450" s="385" t="str">
        <f t="shared" si="129"/>
        <v/>
      </c>
    </row>
    <row r="451" spans="2:19" ht="13.5" hidden="1" thickBot="1">
      <c r="B451" s="625" t="s">
        <v>187</v>
      </c>
      <c r="C451" s="401" t="s">
        <v>187</v>
      </c>
      <c r="D451" s="410"/>
      <c r="E451" s="403"/>
      <c r="F451" s="411"/>
      <c r="G451" s="405"/>
      <c r="H451" s="404"/>
      <c r="I451" s="406"/>
      <c r="J451" s="407"/>
      <c r="K451" s="412">
        <f t="shared" si="138"/>
        <v>0</v>
      </c>
      <c r="L451" s="409" t="s">
        <v>777</v>
      </c>
      <c r="M451" s="30"/>
      <c r="N451" s="30"/>
      <c r="O451" s="287">
        <f t="shared" si="139"/>
        <v>0</v>
      </c>
      <c r="P451" s="287">
        <f t="shared" si="137"/>
        <v>0</v>
      </c>
      <c r="Q451" s="288"/>
      <c r="R451" s="243"/>
      <c r="S451" s="385" t="str">
        <f t="shared" si="129"/>
        <v/>
      </c>
    </row>
    <row r="452" spans="2:19" ht="13.5" hidden="1" thickBot="1">
      <c r="B452" s="625" t="s">
        <v>187</v>
      </c>
      <c r="C452" s="401" t="s">
        <v>187</v>
      </c>
      <c r="D452" s="410"/>
      <c r="E452" s="403"/>
      <c r="F452" s="411"/>
      <c r="G452" s="405"/>
      <c r="H452" s="404"/>
      <c r="I452" s="406"/>
      <c r="J452" s="407"/>
      <c r="K452" s="412">
        <f t="shared" si="138"/>
        <v>0</v>
      </c>
      <c r="L452" s="409" t="s">
        <v>777</v>
      </c>
      <c r="M452" s="30"/>
      <c r="N452" s="30"/>
      <c r="O452" s="287">
        <f t="shared" si="139"/>
        <v>0</v>
      </c>
      <c r="P452" s="287">
        <f t="shared" si="137"/>
        <v>0</v>
      </c>
      <c r="Q452" s="288"/>
      <c r="R452" s="243"/>
      <c r="S452" s="385" t="str">
        <f t="shared" si="129"/>
        <v/>
      </c>
    </row>
    <row r="453" spans="2:19" ht="13.5" hidden="1" thickBot="1">
      <c r="B453" s="625" t="s">
        <v>187</v>
      </c>
      <c r="C453" s="401" t="s">
        <v>187</v>
      </c>
      <c r="D453" s="410"/>
      <c r="E453" s="403"/>
      <c r="F453" s="411"/>
      <c r="G453" s="405"/>
      <c r="H453" s="404"/>
      <c r="I453" s="406"/>
      <c r="J453" s="407"/>
      <c r="K453" s="412">
        <f t="shared" si="138"/>
        <v>0</v>
      </c>
      <c r="L453" s="409" t="s">
        <v>777</v>
      </c>
      <c r="M453" s="30"/>
      <c r="N453" s="30"/>
      <c r="O453" s="287">
        <f t="shared" si="139"/>
        <v>0</v>
      </c>
      <c r="P453" s="287">
        <f t="shared" si="137"/>
        <v>0</v>
      </c>
      <c r="Q453" s="288"/>
      <c r="R453" s="243"/>
      <c r="S453" s="385" t="str">
        <f t="shared" si="129"/>
        <v/>
      </c>
    </row>
    <row r="454" spans="2:19" ht="13.5" hidden="1" thickBot="1">
      <c r="B454" s="625" t="s">
        <v>187</v>
      </c>
      <c r="C454" s="401" t="s">
        <v>187</v>
      </c>
      <c r="D454" s="410"/>
      <c r="E454" s="403"/>
      <c r="F454" s="411"/>
      <c r="G454" s="405"/>
      <c r="H454" s="404"/>
      <c r="I454" s="406"/>
      <c r="J454" s="407"/>
      <c r="K454" s="412">
        <f t="shared" si="138"/>
        <v>0</v>
      </c>
      <c r="L454" s="409" t="s">
        <v>777</v>
      </c>
      <c r="M454" s="30"/>
      <c r="N454" s="30"/>
      <c r="O454" s="287">
        <f t="shared" si="139"/>
        <v>0</v>
      </c>
      <c r="P454" s="287">
        <f t="shared" si="137"/>
        <v>0</v>
      </c>
      <c r="Q454" s="288"/>
      <c r="R454" s="243"/>
      <c r="S454" s="385" t="str">
        <f t="shared" si="129"/>
        <v/>
      </c>
    </row>
    <row r="455" spans="2:19" ht="13.5" hidden="1" thickBot="1">
      <c r="B455" s="625" t="s">
        <v>187</v>
      </c>
      <c r="C455" s="401" t="s">
        <v>187</v>
      </c>
      <c r="D455" s="410"/>
      <c r="E455" s="403"/>
      <c r="F455" s="411"/>
      <c r="G455" s="405"/>
      <c r="H455" s="404"/>
      <c r="I455" s="406"/>
      <c r="J455" s="407"/>
      <c r="K455" s="412">
        <f t="shared" si="138"/>
        <v>0</v>
      </c>
      <c r="L455" s="409" t="s">
        <v>777</v>
      </c>
      <c r="M455" s="30"/>
      <c r="N455" s="30"/>
      <c r="O455" s="287">
        <f t="shared" si="139"/>
        <v>0</v>
      </c>
      <c r="P455" s="287">
        <f t="shared" si="137"/>
        <v>0</v>
      </c>
      <c r="Q455" s="288"/>
      <c r="R455" s="243"/>
      <c r="S455" s="385" t="str">
        <f t="shared" si="129"/>
        <v/>
      </c>
    </row>
    <row r="456" spans="2:19" ht="13.5" hidden="1" thickBot="1">
      <c r="B456" s="625" t="s">
        <v>187</v>
      </c>
      <c r="C456" s="401" t="s">
        <v>187</v>
      </c>
      <c r="D456" s="410"/>
      <c r="E456" s="403"/>
      <c r="F456" s="411"/>
      <c r="G456" s="405"/>
      <c r="H456" s="404"/>
      <c r="I456" s="406"/>
      <c r="J456" s="407"/>
      <c r="K456" s="412">
        <f t="shared" si="138"/>
        <v>0</v>
      </c>
      <c r="L456" s="409" t="s">
        <v>777</v>
      </c>
      <c r="M456" s="30"/>
      <c r="N456" s="30"/>
      <c r="O456" s="287">
        <f t="shared" si="139"/>
        <v>0</v>
      </c>
      <c r="P456" s="287">
        <f t="shared" si="137"/>
        <v>0</v>
      </c>
      <c r="Q456" s="288"/>
      <c r="R456" s="243"/>
      <c r="S456" s="385" t="str">
        <f t="shared" si="129"/>
        <v/>
      </c>
    </row>
    <row r="457" spans="2:19" ht="13.5" hidden="1" thickBot="1">
      <c r="B457" s="625" t="s">
        <v>187</v>
      </c>
      <c r="C457" s="401" t="s">
        <v>187</v>
      </c>
      <c r="D457" s="410"/>
      <c r="E457" s="403"/>
      <c r="F457" s="411"/>
      <c r="G457" s="405"/>
      <c r="H457" s="404"/>
      <c r="I457" s="406"/>
      <c r="J457" s="407"/>
      <c r="K457" s="412">
        <f t="shared" si="138"/>
        <v>0</v>
      </c>
      <c r="L457" s="409" t="s">
        <v>777</v>
      </c>
      <c r="M457" s="30"/>
      <c r="N457" s="30"/>
      <c r="O457" s="287">
        <f t="shared" si="139"/>
        <v>0</v>
      </c>
      <c r="P457" s="287">
        <f t="shared" si="137"/>
        <v>0</v>
      </c>
      <c r="Q457" s="288"/>
      <c r="R457" s="243"/>
      <c r="S457" s="385" t="str">
        <f t="shared" si="129"/>
        <v/>
      </c>
    </row>
    <row r="458" spans="2:19" ht="13.5" hidden="1" thickBot="1">
      <c r="B458" s="625" t="s">
        <v>187</v>
      </c>
      <c r="C458" s="401" t="s">
        <v>187</v>
      </c>
      <c r="D458" s="410"/>
      <c r="E458" s="403"/>
      <c r="F458" s="411"/>
      <c r="G458" s="405"/>
      <c r="H458" s="404"/>
      <c r="I458" s="406"/>
      <c r="J458" s="407"/>
      <c r="K458" s="412">
        <f t="shared" si="138"/>
        <v>0</v>
      </c>
      <c r="L458" s="409" t="s">
        <v>777</v>
      </c>
      <c r="M458" s="30"/>
      <c r="N458" s="30"/>
      <c r="O458" s="287">
        <f t="shared" si="139"/>
        <v>0</v>
      </c>
      <c r="P458" s="287">
        <f t="shared" si="137"/>
        <v>0</v>
      </c>
      <c r="Q458" s="288"/>
      <c r="R458" s="243"/>
      <c r="S458" s="385" t="str">
        <f t="shared" si="129"/>
        <v/>
      </c>
    </row>
    <row r="459" spans="2:19" ht="13.5" hidden="1" thickBot="1">
      <c r="B459" s="625" t="s">
        <v>187</v>
      </c>
      <c r="C459" s="401" t="s">
        <v>187</v>
      </c>
      <c r="D459" s="410"/>
      <c r="E459" s="403"/>
      <c r="F459" s="411"/>
      <c r="G459" s="405"/>
      <c r="H459" s="404"/>
      <c r="I459" s="406"/>
      <c r="J459" s="407"/>
      <c r="K459" s="412">
        <f t="shared" si="138"/>
        <v>0</v>
      </c>
      <c r="L459" s="409" t="s">
        <v>777</v>
      </c>
      <c r="M459" s="30"/>
      <c r="N459" s="30"/>
      <c r="O459" s="287">
        <f t="shared" si="139"/>
        <v>0</v>
      </c>
      <c r="P459" s="287">
        <f t="shared" si="137"/>
        <v>0</v>
      </c>
      <c r="Q459" s="288"/>
      <c r="R459" s="243"/>
      <c r="S459" s="385" t="str">
        <f t="shared" si="129"/>
        <v/>
      </c>
    </row>
    <row r="460" spans="2:19" ht="13.5" hidden="1" thickBot="1">
      <c r="B460" s="625" t="s">
        <v>187</v>
      </c>
      <c r="C460" s="401" t="s">
        <v>187</v>
      </c>
      <c r="D460" s="410"/>
      <c r="E460" s="403"/>
      <c r="F460" s="411"/>
      <c r="G460" s="405"/>
      <c r="H460" s="404"/>
      <c r="I460" s="406"/>
      <c r="J460" s="407"/>
      <c r="K460" s="412">
        <f t="shared" si="138"/>
        <v>0</v>
      </c>
      <c r="L460" s="409" t="s">
        <v>777</v>
      </c>
      <c r="M460" s="30"/>
      <c r="N460" s="30"/>
      <c r="O460" s="287">
        <f t="shared" si="139"/>
        <v>0</v>
      </c>
      <c r="P460" s="287">
        <f t="shared" si="137"/>
        <v>0</v>
      </c>
      <c r="Q460" s="288"/>
      <c r="R460" s="243"/>
      <c r="S460" s="385" t="str">
        <f t="shared" si="129"/>
        <v/>
      </c>
    </row>
    <row r="461" spans="2:19" ht="13.5" hidden="1" thickBot="1">
      <c r="B461" s="625" t="s">
        <v>187</v>
      </c>
      <c r="C461" s="401" t="s">
        <v>187</v>
      </c>
      <c r="D461" s="410"/>
      <c r="E461" s="403"/>
      <c r="F461" s="411"/>
      <c r="G461" s="405"/>
      <c r="H461" s="404"/>
      <c r="I461" s="406"/>
      <c r="J461" s="407"/>
      <c r="K461" s="412">
        <f t="shared" si="138"/>
        <v>0</v>
      </c>
      <c r="L461" s="409" t="s">
        <v>777</v>
      </c>
      <c r="M461" s="30"/>
      <c r="N461" s="30"/>
      <c r="O461" s="287">
        <f t="shared" si="139"/>
        <v>0</v>
      </c>
      <c r="P461" s="287">
        <f t="shared" si="137"/>
        <v>0</v>
      </c>
      <c r="Q461" s="288"/>
      <c r="R461" s="243"/>
      <c r="S461" s="385" t="str">
        <f t="shared" si="129"/>
        <v/>
      </c>
    </row>
    <row r="462" spans="2:19" ht="13.5" hidden="1" thickBot="1">
      <c r="B462" s="625" t="s">
        <v>187</v>
      </c>
      <c r="C462" s="401" t="s">
        <v>187</v>
      </c>
      <c r="D462" s="410"/>
      <c r="E462" s="403"/>
      <c r="F462" s="411"/>
      <c r="G462" s="405"/>
      <c r="H462" s="404"/>
      <c r="I462" s="406"/>
      <c r="J462" s="407"/>
      <c r="K462" s="412">
        <f t="shared" si="138"/>
        <v>0</v>
      </c>
      <c r="L462" s="409" t="s">
        <v>777</v>
      </c>
      <c r="M462" s="30"/>
      <c r="N462" s="30"/>
      <c r="O462" s="287">
        <f t="shared" si="139"/>
        <v>0</v>
      </c>
      <c r="P462" s="287">
        <f t="shared" si="137"/>
        <v>0</v>
      </c>
      <c r="Q462" s="288"/>
      <c r="R462" s="243"/>
      <c r="S462" s="385" t="str">
        <f t="shared" si="129"/>
        <v/>
      </c>
    </row>
    <row r="463" spans="2:19" ht="13.5" hidden="1" thickBot="1">
      <c r="B463" s="625" t="s">
        <v>187</v>
      </c>
      <c r="C463" s="401" t="s">
        <v>187</v>
      </c>
      <c r="D463" s="410"/>
      <c r="E463" s="403"/>
      <c r="F463" s="411"/>
      <c r="G463" s="405"/>
      <c r="H463" s="404"/>
      <c r="I463" s="406"/>
      <c r="J463" s="407"/>
      <c r="K463" s="412">
        <f t="shared" si="138"/>
        <v>0</v>
      </c>
      <c r="L463" s="409" t="s">
        <v>777</v>
      </c>
      <c r="M463" s="30"/>
      <c r="N463" s="30"/>
      <c r="O463" s="287">
        <f t="shared" si="139"/>
        <v>0</v>
      </c>
      <c r="P463" s="287">
        <f t="shared" si="137"/>
        <v>0</v>
      </c>
      <c r="Q463" s="288"/>
      <c r="R463" s="243"/>
      <c r="S463" s="385" t="str">
        <f t="shared" si="129"/>
        <v/>
      </c>
    </row>
    <row r="464" spans="2:19" ht="13.5" hidden="1" thickBot="1">
      <c r="B464" s="625" t="s">
        <v>187</v>
      </c>
      <c r="C464" s="401" t="s">
        <v>187</v>
      </c>
      <c r="D464" s="410"/>
      <c r="E464" s="403"/>
      <c r="F464" s="411"/>
      <c r="G464" s="405"/>
      <c r="H464" s="404"/>
      <c r="I464" s="406"/>
      <c r="J464" s="407"/>
      <c r="K464" s="412">
        <f t="shared" si="138"/>
        <v>0</v>
      </c>
      <c r="L464" s="409" t="s">
        <v>777</v>
      </c>
      <c r="M464" s="30"/>
      <c r="N464" s="30"/>
      <c r="O464" s="287">
        <f t="shared" si="139"/>
        <v>0</v>
      </c>
      <c r="P464" s="287">
        <f t="shared" si="137"/>
        <v>0</v>
      </c>
      <c r="Q464" s="288"/>
      <c r="R464" s="243"/>
      <c r="S464" s="385" t="str">
        <f t="shared" si="129"/>
        <v/>
      </c>
    </row>
    <row r="465" spans="2:19" ht="13.5" hidden="1" thickBot="1">
      <c r="B465" s="625" t="s">
        <v>187</v>
      </c>
      <c r="C465" s="401" t="s">
        <v>187</v>
      </c>
      <c r="D465" s="410"/>
      <c r="E465" s="403"/>
      <c r="F465" s="411"/>
      <c r="G465" s="405"/>
      <c r="H465" s="404"/>
      <c r="I465" s="406"/>
      <c r="J465" s="407"/>
      <c r="K465" s="412">
        <f t="shared" si="138"/>
        <v>0</v>
      </c>
      <c r="L465" s="409" t="s">
        <v>777</v>
      </c>
      <c r="M465" s="30"/>
      <c r="N465" s="30"/>
      <c r="O465" s="287">
        <f t="shared" si="139"/>
        <v>0</v>
      </c>
      <c r="P465" s="287">
        <f t="shared" si="137"/>
        <v>0</v>
      </c>
      <c r="Q465" s="288"/>
      <c r="R465" s="243"/>
      <c r="S465" s="385" t="str">
        <f t="shared" si="129"/>
        <v/>
      </c>
    </row>
    <row r="466" spans="2:19" ht="13.5" hidden="1" thickBot="1">
      <c r="B466" s="625" t="s">
        <v>187</v>
      </c>
      <c r="C466" s="401" t="s">
        <v>187</v>
      </c>
      <c r="D466" s="410"/>
      <c r="E466" s="403"/>
      <c r="F466" s="411"/>
      <c r="G466" s="405"/>
      <c r="H466" s="404"/>
      <c r="I466" s="406"/>
      <c r="J466" s="407"/>
      <c r="K466" s="412">
        <f t="shared" si="138"/>
        <v>0</v>
      </c>
      <c r="L466" s="409" t="s">
        <v>777</v>
      </c>
      <c r="M466" s="30"/>
      <c r="N466" s="30"/>
      <c r="O466" s="287">
        <f t="shared" si="139"/>
        <v>0</v>
      </c>
      <c r="P466" s="287">
        <f t="shared" si="137"/>
        <v>0</v>
      </c>
      <c r="Q466" s="288"/>
      <c r="R466" s="243"/>
      <c r="S466" s="385" t="str">
        <f t="shared" si="129"/>
        <v/>
      </c>
    </row>
    <row r="467" spans="2:19" ht="13.5" hidden="1" thickBot="1">
      <c r="B467" s="625" t="s">
        <v>187</v>
      </c>
      <c r="C467" s="401" t="s">
        <v>187</v>
      </c>
      <c r="D467" s="410"/>
      <c r="E467" s="403"/>
      <c r="F467" s="411"/>
      <c r="G467" s="405"/>
      <c r="H467" s="404"/>
      <c r="I467" s="406"/>
      <c r="J467" s="407"/>
      <c r="K467" s="412">
        <f t="shared" si="138"/>
        <v>0</v>
      </c>
      <c r="L467" s="409" t="s">
        <v>777</v>
      </c>
      <c r="M467" s="30"/>
      <c r="N467" s="30"/>
      <c r="O467" s="287">
        <f t="shared" si="139"/>
        <v>0</v>
      </c>
      <c r="P467" s="287">
        <f t="shared" si="137"/>
        <v>0</v>
      </c>
      <c r="Q467" s="288"/>
      <c r="R467" s="243"/>
      <c r="S467" s="385" t="str">
        <f t="shared" si="129"/>
        <v/>
      </c>
    </row>
    <row r="468" spans="2:19" ht="13.5" hidden="1" thickBot="1">
      <c r="B468" s="625" t="s">
        <v>187</v>
      </c>
      <c r="C468" s="401" t="s">
        <v>187</v>
      </c>
      <c r="D468" s="410"/>
      <c r="E468" s="403"/>
      <c r="F468" s="411"/>
      <c r="G468" s="405"/>
      <c r="H468" s="404"/>
      <c r="I468" s="406"/>
      <c r="J468" s="407"/>
      <c r="K468" s="412">
        <f t="shared" si="138"/>
        <v>0</v>
      </c>
      <c r="L468" s="409" t="s">
        <v>777</v>
      </c>
      <c r="M468" s="30"/>
      <c r="N468" s="30"/>
      <c r="O468" s="287">
        <f t="shared" si="139"/>
        <v>0</v>
      </c>
      <c r="P468" s="287">
        <f t="shared" si="137"/>
        <v>0</v>
      </c>
      <c r="Q468" s="288"/>
      <c r="R468" s="243"/>
      <c r="S468" s="385" t="str">
        <f t="shared" si="129"/>
        <v/>
      </c>
    </row>
    <row r="469" spans="2:19" ht="13.5" hidden="1" thickBot="1">
      <c r="B469" s="625" t="s">
        <v>187</v>
      </c>
      <c r="C469" s="401" t="s">
        <v>187</v>
      </c>
      <c r="D469" s="410"/>
      <c r="E469" s="403"/>
      <c r="F469" s="411"/>
      <c r="G469" s="405"/>
      <c r="H469" s="404"/>
      <c r="I469" s="406"/>
      <c r="J469" s="407"/>
      <c r="K469" s="412">
        <f t="shared" si="138"/>
        <v>0</v>
      </c>
      <c r="L469" s="409" t="s">
        <v>777</v>
      </c>
      <c r="M469" s="30"/>
      <c r="N469" s="30"/>
      <c r="O469" s="287">
        <f t="shared" si="139"/>
        <v>0</v>
      </c>
      <c r="P469" s="287">
        <f t="shared" si="137"/>
        <v>0</v>
      </c>
      <c r="Q469" s="288"/>
      <c r="R469" s="243"/>
      <c r="S469" s="385" t="str">
        <f t="shared" si="129"/>
        <v/>
      </c>
    </row>
    <row r="470" spans="2:19" ht="13.5" hidden="1" thickBot="1">
      <c r="B470" s="625" t="s">
        <v>187</v>
      </c>
      <c r="C470" s="401" t="s">
        <v>187</v>
      </c>
      <c r="D470" s="410"/>
      <c r="E470" s="403"/>
      <c r="F470" s="411"/>
      <c r="G470" s="405"/>
      <c r="H470" s="404"/>
      <c r="I470" s="406"/>
      <c r="J470" s="407"/>
      <c r="K470" s="412">
        <f t="shared" si="138"/>
        <v>0</v>
      </c>
      <c r="L470" s="409" t="s">
        <v>777</v>
      </c>
      <c r="M470" s="30"/>
      <c r="N470" s="30"/>
      <c r="O470" s="287">
        <f t="shared" si="139"/>
        <v>0</v>
      </c>
      <c r="P470" s="287">
        <f t="shared" si="137"/>
        <v>0</v>
      </c>
      <c r="Q470" s="288"/>
      <c r="R470" s="243"/>
      <c r="S470" s="385" t="str">
        <f t="shared" si="129"/>
        <v/>
      </c>
    </row>
    <row r="471" spans="2:19" ht="13.5" hidden="1" thickBot="1">
      <c r="B471" s="625" t="s">
        <v>187</v>
      </c>
      <c r="C471" s="401" t="s">
        <v>187</v>
      </c>
      <c r="D471" s="410"/>
      <c r="E471" s="403"/>
      <c r="F471" s="411"/>
      <c r="G471" s="405"/>
      <c r="H471" s="404"/>
      <c r="I471" s="406"/>
      <c r="J471" s="407"/>
      <c r="K471" s="412">
        <f t="shared" si="138"/>
        <v>0</v>
      </c>
      <c r="L471" s="409" t="s">
        <v>777</v>
      </c>
      <c r="M471" s="30"/>
      <c r="N471" s="30"/>
      <c r="O471" s="287">
        <f t="shared" si="139"/>
        <v>0</v>
      </c>
      <c r="P471" s="287">
        <f t="shared" si="137"/>
        <v>0</v>
      </c>
      <c r="Q471" s="288"/>
      <c r="R471" s="243"/>
      <c r="S471" s="385" t="str">
        <f t="shared" si="129"/>
        <v/>
      </c>
    </row>
    <row r="472" spans="2:19" ht="13.5" hidden="1" thickBot="1">
      <c r="B472" s="626" t="s">
        <v>187</v>
      </c>
      <c r="C472" s="413" t="s">
        <v>187</v>
      </c>
      <c r="D472" s="414"/>
      <c r="E472" s="415"/>
      <c r="F472" s="416"/>
      <c r="G472" s="417"/>
      <c r="H472" s="418"/>
      <c r="I472" s="419"/>
      <c r="J472" s="420"/>
      <c r="K472" s="421">
        <f t="shared" si="138"/>
        <v>0</v>
      </c>
      <c r="L472" s="422" t="s">
        <v>777</v>
      </c>
      <c r="M472" s="30"/>
      <c r="N472" s="30"/>
      <c r="O472" s="423">
        <f t="shared" si="139"/>
        <v>0</v>
      </c>
      <c r="P472" s="423">
        <f t="shared" si="137"/>
        <v>0</v>
      </c>
      <c r="Q472" s="288"/>
      <c r="R472" s="243"/>
      <c r="S472" s="385" t="str">
        <f t="shared" si="129"/>
        <v/>
      </c>
    </row>
    <row r="473" spans="2:19" ht="13.5" hidden="1" thickBot="1">
      <c r="B473" s="627" t="s">
        <v>188</v>
      </c>
      <c r="C473" s="684"/>
      <c r="D473" s="685" t="s">
        <v>492</v>
      </c>
      <c r="E473" s="679"/>
      <c r="F473" s="665"/>
      <c r="G473" s="666"/>
      <c r="H473" s="667"/>
      <c r="I473" s="619"/>
      <c r="J473" s="619"/>
      <c r="K473" s="619"/>
      <c r="L473" s="383" t="s">
        <v>777</v>
      </c>
      <c r="M473" s="382"/>
      <c r="N473" s="383"/>
      <c r="O473" s="383"/>
      <c r="P473" s="295"/>
      <c r="Q473" s="296">
        <f>SUM(P474:P527)</f>
        <v>0</v>
      </c>
      <c r="R473" s="315" t="str">
        <f>IF(Q473&gt;0,"xy","")</f>
        <v/>
      </c>
      <c r="S473" s="385" t="str">
        <f t="shared" si="129"/>
        <v/>
      </c>
    </row>
    <row r="474" spans="2:19" ht="13.5" hidden="1" thickBot="1">
      <c r="B474" s="629" t="s">
        <v>1032</v>
      </c>
      <c r="C474" s="610" t="s">
        <v>517</v>
      </c>
      <c r="D474" s="611" t="s">
        <v>1033</v>
      </c>
      <c r="E474" s="602"/>
      <c r="F474" s="603"/>
      <c r="G474" s="604"/>
      <c r="H474" s="605"/>
      <c r="I474" s="675">
        <v>12.4</v>
      </c>
      <c r="J474" s="675">
        <f>IF(ISBLANK(I474),"",SUM(H474:I474))</f>
        <v>12.4</v>
      </c>
      <c r="K474" s="606">
        <f t="shared" ref="K474:K477" si="140">IF(ISBLANK(I474),0,ROUND(J474*(1+$F$10)*(1+$F$11*E474),2))</f>
        <v>15.05</v>
      </c>
      <c r="L474" s="389" t="s">
        <v>19</v>
      </c>
      <c r="M474" s="30"/>
      <c r="N474" s="30"/>
      <c r="O474" s="287">
        <f t="shared" ref="O474:O501" si="141">IF(ISBLANK(M474),0,ROUND(K474*M474,2))</f>
        <v>0</v>
      </c>
      <c r="P474" s="287">
        <f t="shared" ref="P474:P501" si="142">IF(ISBLANK(N474),0,ROUND(M474*N474,2))</f>
        <v>0</v>
      </c>
      <c r="Q474" s="288"/>
      <c r="R474" s="243"/>
      <c r="S474" s="385" t="str">
        <f t="shared" si="129"/>
        <v/>
      </c>
    </row>
    <row r="475" spans="2:19" ht="13.5" hidden="1" thickBot="1">
      <c r="B475" s="629" t="s">
        <v>1034</v>
      </c>
      <c r="C475" s="610" t="s">
        <v>517</v>
      </c>
      <c r="D475" s="682" t="s">
        <v>1035</v>
      </c>
      <c r="E475" s="683"/>
      <c r="F475" s="639"/>
      <c r="G475" s="673"/>
      <c r="H475" s="674"/>
      <c r="I475" s="675">
        <v>37.18</v>
      </c>
      <c r="J475" s="675">
        <f>IF(ISBLANK(I475),"",SUM(H475:I475))</f>
        <v>37.18</v>
      </c>
      <c r="K475" s="606">
        <f t="shared" si="140"/>
        <v>45.12</v>
      </c>
      <c r="L475" s="389" t="s">
        <v>19</v>
      </c>
      <c r="M475" s="30"/>
      <c r="N475" s="30"/>
      <c r="O475" s="287">
        <f t="shared" si="141"/>
        <v>0</v>
      </c>
      <c r="P475" s="391">
        <f t="shared" si="142"/>
        <v>0</v>
      </c>
      <c r="Q475" s="288"/>
      <c r="R475" s="243"/>
      <c r="S475" s="385" t="str">
        <f t="shared" si="129"/>
        <v/>
      </c>
    </row>
    <row r="476" spans="2:19" ht="13.5" hidden="1" thickBot="1">
      <c r="B476" s="609" t="s">
        <v>1808</v>
      </c>
      <c r="C476" s="610" t="s">
        <v>212</v>
      </c>
      <c r="D476" s="611" t="s">
        <v>247</v>
      </c>
      <c r="E476" s="602"/>
      <c r="F476" s="603">
        <v>20</v>
      </c>
      <c r="G476" s="673">
        <v>7.6999999999999999E-2</v>
      </c>
      <c r="H476" s="608">
        <f t="shared" ref="H476" si="143">IF(F476&lt;=30,(0.7*F476+1.45)*G476,((0.7*30+1.45)+0.58*(F476-30))*G476)</f>
        <v>1.1896499999999999</v>
      </c>
      <c r="I476" s="675">
        <v>9.84</v>
      </c>
      <c r="J476" s="675">
        <f>IF(ISBLANK(I476),"",SUM(H476:I476))</f>
        <v>11.02965</v>
      </c>
      <c r="K476" s="606">
        <f t="shared" si="140"/>
        <v>13.38</v>
      </c>
      <c r="L476" s="389" t="s">
        <v>19</v>
      </c>
      <c r="M476" s="30"/>
      <c r="N476" s="30"/>
      <c r="O476" s="287">
        <f t="shared" si="141"/>
        <v>0</v>
      </c>
      <c r="P476" s="287">
        <f t="shared" si="142"/>
        <v>0</v>
      </c>
      <c r="Q476" s="288"/>
      <c r="R476" s="243"/>
      <c r="S476" s="385" t="str">
        <f t="shared" si="129"/>
        <v/>
      </c>
    </row>
    <row r="477" spans="2:19" ht="13.5" hidden="1" thickBot="1">
      <c r="B477" s="609">
        <v>810100</v>
      </c>
      <c r="C477" s="610" t="s">
        <v>212</v>
      </c>
      <c r="D477" s="611" t="s">
        <v>275</v>
      </c>
      <c r="E477" s="602"/>
      <c r="F477" s="603"/>
      <c r="G477" s="604"/>
      <c r="H477" s="605">
        <f>SUM(H478:H480)</f>
        <v>18.622584</v>
      </c>
      <c r="I477" s="675">
        <v>53.510000000000005</v>
      </c>
      <c r="J477" s="675">
        <f t="shared" ref="J477:J497" si="144">IF(ISBLANK(I477),"",SUM(H477:I477))</f>
        <v>72.132584000000008</v>
      </c>
      <c r="K477" s="606">
        <f t="shared" si="140"/>
        <v>87.53</v>
      </c>
      <c r="L477" s="389" t="s">
        <v>19</v>
      </c>
      <c r="M477" s="30"/>
      <c r="N477" s="30"/>
      <c r="O477" s="287">
        <f t="shared" si="141"/>
        <v>0</v>
      </c>
      <c r="P477" s="287">
        <f t="shared" si="142"/>
        <v>0</v>
      </c>
      <c r="Q477" s="288"/>
      <c r="R477" s="243"/>
      <c r="S477" s="385" t="str">
        <f t="shared" si="129"/>
        <v/>
      </c>
    </row>
    <row r="478" spans="2:19" ht="13.5" hidden="1" thickBot="1">
      <c r="B478" s="609" t="s">
        <v>168</v>
      </c>
      <c r="C478" s="610"/>
      <c r="D478" s="648" t="s">
        <v>218</v>
      </c>
      <c r="E478" s="602"/>
      <c r="F478" s="603">
        <v>500</v>
      </c>
      <c r="G478" s="604">
        <v>2.7799999999999998E-2</v>
      </c>
      <c r="H478" s="605">
        <f>IF(F478&lt;=30,(0.51*F478+4.28)*G478,((0.51*30+4.28)+0.42*(F478-30))*G478)</f>
        <v>6.032044</v>
      </c>
      <c r="I478" s="675">
        <v>0</v>
      </c>
      <c r="J478" s="675"/>
      <c r="K478" s="606"/>
      <c r="L478" s="438" t="s">
        <v>777</v>
      </c>
      <c r="M478" s="429"/>
      <c r="N478" s="430"/>
      <c r="O478" s="287">
        <f t="shared" si="141"/>
        <v>0</v>
      </c>
      <c r="P478" s="287">
        <f t="shared" si="142"/>
        <v>0</v>
      </c>
      <c r="Q478" s="288"/>
      <c r="R478" s="315" t="str">
        <f>IF(P477&gt;0,"xy","")</f>
        <v/>
      </c>
      <c r="S478" s="385" t="str">
        <f t="shared" si="129"/>
        <v/>
      </c>
    </row>
    <row r="479" spans="2:19" ht="13.5" hidden="1" thickBot="1">
      <c r="B479" s="609" t="s">
        <v>168</v>
      </c>
      <c r="C479" s="610"/>
      <c r="D479" s="648" t="s">
        <v>256</v>
      </c>
      <c r="E479" s="602"/>
      <c r="F479" s="603">
        <v>180</v>
      </c>
      <c r="G479" s="604">
        <v>9.8900000000000002E-2</v>
      </c>
      <c r="H479" s="608">
        <f t="shared" ref="H479:H481" si="145">IF(F479&lt;=30,(0.7*F479+1.45)*G479,((0.7*30+1.45)+0.58*(F479-30))*G479)</f>
        <v>10.824605</v>
      </c>
      <c r="I479" s="675">
        <v>0</v>
      </c>
      <c r="J479" s="675"/>
      <c r="K479" s="606"/>
      <c r="L479" s="438" t="s">
        <v>777</v>
      </c>
      <c r="M479" s="429"/>
      <c r="N479" s="430"/>
      <c r="O479" s="287">
        <f t="shared" si="141"/>
        <v>0</v>
      </c>
      <c r="P479" s="287">
        <f t="shared" si="142"/>
        <v>0</v>
      </c>
      <c r="Q479" s="288"/>
      <c r="R479" s="315" t="str">
        <f>IF(P477&gt;0,"xy","")</f>
        <v/>
      </c>
      <c r="S479" s="385" t="str">
        <f t="shared" si="129"/>
        <v/>
      </c>
    </row>
    <row r="480" spans="2:19" ht="13.5" hidden="1" thickBot="1">
      <c r="B480" s="609" t="s">
        <v>168</v>
      </c>
      <c r="C480" s="610"/>
      <c r="D480" s="648" t="s">
        <v>260</v>
      </c>
      <c r="E480" s="602"/>
      <c r="F480" s="603">
        <v>20</v>
      </c>
      <c r="G480" s="604">
        <v>0.1143</v>
      </c>
      <c r="H480" s="608">
        <f t="shared" si="145"/>
        <v>1.7659349999999998</v>
      </c>
      <c r="I480" s="675">
        <v>0</v>
      </c>
      <c r="J480" s="675"/>
      <c r="K480" s="606"/>
      <c r="L480" s="438" t="s">
        <v>777</v>
      </c>
      <c r="M480" s="429"/>
      <c r="N480" s="430"/>
      <c r="O480" s="287">
        <f t="shared" si="141"/>
        <v>0</v>
      </c>
      <c r="P480" s="287">
        <f t="shared" si="142"/>
        <v>0</v>
      </c>
      <c r="Q480" s="288"/>
      <c r="R480" s="315" t="str">
        <f>IF(P477&gt;0,"xy","")</f>
        <v/>
      </c>
      <c r="S480" s="385" t="str">
        <f t="shared" si="129"/>
        <v/>
      </c>
    </row>
    <row r="481" spans="2:19" ht="13.5" hidden="1" thickBot="1">
      <c r="B481" s="609">
        <v>810050</v>
      </c>
      <c r="C481" s="610" t="s">
        <v>212</v>
      </c>
      <c r="D481" s="611" t="s">
        <v>276</v>
      </c>
      <c r="E481" s="602"/>
      <c r="F481" s="603">
        <v>10</v>
      </c>
      <c r="G481" s="604">
        <f>0.0278+0.0988+0.1143</f>
        <v>0.2409</v>
      </c>
      <c r="H481" s="608">
        <f t="shared" si="145"/>
        <v>2.0356049999999999</v>
      </c>
      <c r="I481" s="675">
        <v>85.7</v>
      </c>
      <c r="J481" s="675">
        <f t="shared" ref="J481" si="146">IF(ISBLANK(I481),"",SUM(H481:I481))</f>
        <v>87.735605000000007</v>
      </c>
      <c r="K481" s="606">
        <f t="shared" ref="K481:K501" si="147">IF(ISBLANK(I481),0,ROUND(J481*(1+$F$10)*(1+$F$11*E481),2))</f>
        <v>106.47</v>
      </c>
      <c r="L481" s="389" t="s">
        <v>19</v>
      </c>
      <c r="M481" s="30"/>
      <c r="N481" s="30"/>
      <c r="O481" s="287">
        <f t="shared" si="141"/>
        <v>0</v>
      </c>
      <c r="P481" s="287">
        <f t="shared" si="142"/>
        <v>0</v>
      </c>
      <c r="Q481" s="288"/>
      <c r="R481" s="384"/>
      <c r="S481" s="385" t="str">
        <f t="shared" si="129"/>
        <v/>
      </c>
    </row>
    <row r="482" spans="2:19" ht="13.5" hidden="1" thickBot="1">
      <c r="B482" s="609">
        <v>810200</v>
      </c>
      <c r="C482" s="610" t="s">
        <v>212</v>
      </c>
      <c r="D482" s="611" t="s">
        <v>277</v>
      </c>
      <c r="E482" s="602"/>
      <c r="F482" s="603"/>
      <c r="G482" s="604"/>
      <c r="H482" s="605">
        <f>SUM(H483:H485)</f>
        <v>7.5826790000000006</v>
      </c>
      <c r="I482" s="675">
        <v>23.25</v>
      </c>
      <c r="J482" s="675">
        <f t="shared" si="144"/>
        <v>30.832678999999999</v>
      </c>
      <c r="K482" s="606">
        <f t="shared" si="147"/>
        <v>37.42</v>
      </c>
      <c r="L482" s="389" t="s">
        <v>19</v>
      </c>
      <c r="M482" s="30"/>
      <c r="N482" s="30"/>
      <c r="O482" s="287">
        <f t="shared" si="141"/>
        <v>0</v>
      </c>
      <c r="P482" s="287">
        <f t="shared" si="142"/>
        <v>0</v>
      </c>
      <c r="Q482" s="288"/>
      <c r="R482" s="384"/>
      <c r="S482" s="385" t="str">
        <f t="shared" si="129"/>
        <v/>
      </c>
    </row>
    <row r="483" spans="2:19" ht="13.5" hidden="1" thickBot="1">
      <c r="B483" s="609" t="s">
        <v>168</v>
      </c>
      <c r="C483" s="610"/>
      <c r="D483" s="648" t="s">
        <v>218</v>
      </c>
      <c r="E483" s="602"/>
      <c r="F483" s="603">
        <v>500</v>
      </c>
      <c r="G483" s="604">
        <v>1.1299999999999999E-2</v>
      </c>
      <c r="H483" s="605">
        <f>IF(F483&lt;=30,(0.51*F483+4.28)*G483,((0.51*30+4.28)+0.42*(F483-30))*G483)</f>
        <v>2.4518740000000001</v>
      </c>
      <c r="I483" s="675">
        <v>0</v>
      </c>
      <c r="J483" s="675"/>
      <c r="K483" s="606"/>
      <c r="L483" s="438" t="s">
        <v>777</v>
      </c>
      <c r="M483" s="429"/>
      <c r="N483" s="430"/>
      <c r="O483" s="287">
        <f t="shared" si="141"/>
        <v>0</v>
      </c>
      <c r="P483" s="287">
        <f t="shared" si="142"/>
        <v>0</v>
      </c>
      <c r="Q483" s="288"/>
      <c r="R483" s="315" t="str">
        <f>IF(P482&gt;0,"xy","")</f>
        <v/>
      </c>
      <c r="S483" s="385" t="str">
        <f t="shared" si="129"/>
        <v/>
      </c>
    </row>
    <row r="484" spans="2:19" ht="13.5" hidden="1" thickBot="1">
      <c r="B484" s="609" t="s">
        <v>168</v>
      </c>
      <c r="C484" s="610"/>
      <c r="D484" s="648" t="s">
        <v>256</v>
      </c>
      <c r="E484" s="602"/>
      <c r="F484" s="603">
        <v>180</v>
      </c>
      <c r="G484" s="604">
        <v>4.0300000000000002E-2</v>
      </c>
      <c r="H484" s="608">
        <f t="shared" ref="H484:H486" si="148">IF(F484&lt;=30,(0.7*F484+1.45)*G484,((0.7*30+1.45)+0.58*(F484-30))*G484)</f>
        <v>4.4108350000000005</v>
      </c>
      <c r="I484" s="675">
        <v>0</v>
      </c>
      <c r="J484" s="675"/>
      <c r="K484" s="606"/>
      <c r="L484" s="438" t="s">
        <v>777</v>
      </c>
      <c r="M484" s="429"/>
      <c r="N484" s="430"/>
      <c r="O484" s="287">
        <f t="shared" si="141"/>
        <v>0</v>
      </c>
      <c r="P484" s="287">
        <f t="shared" si="142"/>
        <v>0</v>
      </c>
      <c r="Q484" s="288"/>
      <c r="R484" s="315" t="str">
        <f>IF(P482&gt;0,"xy","")</f>
        <v/>
      </c>
      <c r="S484" s="385" t="str">
        <f t="shared" si="129"/>
        <v/>
      </c>
    </row>
    <row r="485" spans="2:19" ht="13.5" hidden="1" thickBot="1">
      <c r="B485" s="609" t="s">
        <v>168</v>
      </c>
      <c r="C485" s="610"/>
      <c r="D485" s="648" t="s">
        <v>260</v>
      </c>
      <c r="E485" s="602"/>
      <c r="F485" s="603">
        <v>20</v>
      </c>
      <c r="G485" s="604">
        <v>4.6600000000000003E-2</v>
      </c>
      <c r="H485" s="608">
        <f t="shared" si="148"/>
        <v>0.71997</v>
      </c>
      <c r="I485" s="675">
        <v>0</v>
      </c>
      <c r="J485" s="675"/>
      <c r="K485" s="606"/>
      <c r="L485" s="438" t="s">
        <v>777</v>
      </c>
      <c r="M485" s="429"/>
      <c r="N485" s="430"/>
      <c r="O485" s="287">
        <f t="shared" si="141"/>
        <v>0</v>
      </c>
      <c r="P485" s="287">
        <f t="shared" si="142"/>
        <v>0</v>
      </c>
      <c r="Q485" s="288"/>
      <c r="R485" s="315" t="str">
        <f>IF(P482&gt;0,"xy","")</f>
        <v/>
      </c>
      <c r="S485" s="385" t="str">
        <f t="shared" si="129"/>
        <v/>
      </c>
    </row>
    <row r="486" spans="2:19" ht="13.5" hidden="1" thickBot="1">
      <c r="B486" s="609">
        <v>810150</v>
      </c>
      <c r="C486" s="610" t="s">
        <v>212</v>
      </c>
      <c r="D486" s="611" t="s">
        <v>278</v>
      </c>
      <c r="E486" s="602"/>
      <c r="F486" s="603">
        <v>10</v>
      </c>
      <c r="G486" s="604">
        <v>9.8199999999999996E-2</v>
      </c>
      <c r="H486" s="608">
        <f t="shared" si="148"/>
        <v>0.82978999999999992</v>
      </c>
      <c r="I486" s="675">
        <v>39.739999999999995</v>
      </c>
      <c r="J486" s="675">
        <f t="shared" si="144"/>
        <v>40.569789999999998</v>
      </c>
      <c r="K486" s="606">
        <f t="shared" si="147"/>
        <v>49.23</v>
      </c>
      <c r="L486" s="389" t="s">
        <v>19</v>
      </c>
      <c r="M486" s="30"/>
      <c r="N486" s="30"/>
      <c r="O486" s="287">
        <f t="shared" si="141"/>
        <v>0</v>
      </c>
      <c r="P486" s="287">
        <f t="shared" si="142"/>
        <v>0</v>
      </c>
      <c r="Q486" s="288"/>
      <c r="R486" s="243"/>
      <c r="S486" s="385" t="str">
        <f t="shared" si="129"/>
        <v/>
      </c>
    </row>
    <row r="487" spans="2:19" ht="13.5" hidden="1" thickBot="1">
      <c r="B487" s="609">
        <v>810700</v>
      </c>
      <c r="C487" s="610" t="s">
        <v>212</v>
      </c>
      <c r="D487" s="611" t="s">
        <v>279</v>
      </c>
      <c r="E487" s="602"/>
      <c r="F487" s="603"/>
      <c r="G487" s="604"/>
      <c r="H487" s="605">
        <f>SUM(H488:H490)</f>
        <v>5.6157219999999999</v>
      </c>
      <c r="I487" s="675">
        <v>19.09</v>
      </c>
      <c r="J487" s="675">
        <f t="shared" si="144"/>
        <v>24.705722000000002</v>
      </c>
      <c r="K487" s="606">
        <f t="shared" si="147"/>
        <v>29.98</v>
      </c>
      <c r="L487" s="389" t="s">
        <v>19</v>
      </c>
      <c r="M487" s="30"/>
      <c r="N487" s="30"/>
      <c r="O487" s="287">
        <f t="shared" si="141"/>
        <v>0</v>
      </c>
      <c r="P487" s="287">
        <f t="shared" si="142"/>
        <v>0</v>
      </c>
      <c r="Q487" s="288"/>
      <c r="R487" s="243"/>
      <c r="S487" s="385" t="str">
        <f t="shared" si="129"/>
        <v/>
      </c>
    </row>
    <row r="488" spans="2:19" ht="13.5" hidden="1" thickBot="1">
      <c r="B488" s="609" t="s">
        <v>168</v>
      </c>
      <c r="C488" s="610"/>
      <c r="D488" s="648" t="s">
        <v>218</v>
      </c>
      <c r="E488" s="602"/>
      <c r="F488" s="603">
        <v>500</v>
      </c>
      <c r="G488" s="604">
        <v>8.3999999999999995E-3</v>
      </c>
      <c r="H488" s="605">
        <f>IF(F488&lt;=30,(0.51*F488+4.28)*G488,((0.51*30+4.28)+0.42*(F488-30))*G488)</f>
        <v>1.822632</v>
      </c>
      <c r="I488" s="675">
        <v>0</v>
      </c>
      <c r="J488" s="675"/>
      <c r="K488" s="606"/>
      <c r="L488" s="438" t="s">
        <v>777</v>
      </c>
      <c r="M488" s="429"/>
      <c r="N488" s="430"/>
      <c r="O488" s="287">
        <f t="shared" si="141"/>
        <v>0</v>
      </c>
      <c r="P488" s="287">
        <f t="shared" si="142"/>
        <v>0</v>
      </c>
      <c r="Q488" s="288"/>
      <c r="R488" s="315" t="str">
        <f>IF(P487&gt;0,"xy","")</f>
        <v/>
      </c>
      <c r="S488" s="385" t="str">
        <f t="shared" si="129"/>
        <v/>
      </c>
    </row>
    <row r="489" spans="2:19" ht="13.5" hidden="1" thickBot="1">
      <c r="B489" s="609" t="s">
        <v>168</v>
      </c>
      <c r="C489" s="610"/>
      <c r="D489" s="648" t="s">
        <v>256</v>
      </c>
      <c r="E489" s="602"/>
      <c r="F489" s="603">
        <v>180</v>
      </c>
      <c r="G489" s="604">
        <v>2.98E-2</v>
      </c>
      <c r="H489" s="608">
        <f t="shared" ref="H489:H491" si="149">IF(F489&lt;=30,(0.7*F489+1.45)*G489,((0.7*30+1.45)+0.58*(F489-30))*G489)</f>
        <v>3.2616100000000001</v>
      </c>
      <c r="I489" s="675">
        <v>0</v>
      </c>
      <c r="J489" s="675"/>
      <c r="K489" s="606"/>
      <c r="L489" s="438" t="s">
        <v>777</v>
      </c>
      <c r="M489" s="429"/>
      <c r="N489" s="430"/>
      <c r="O489" s="287">
        <f t="shared" si="141"/>
        <v>0</v>
      </c>
      <c r="P489" s="287">
        <f t="shared" si="142"/>
        <v>0</v>
      </c>
      <c r="Q489" s="288"/>
      <c r="R489" s="315" t="str">
        <f>IF(P487&gt;0,"xy","")</f>
        <v/>
      </c>
      <c r="S489" s="385" t="str">
        <f t="shared" si="129"/>
        <v/>
      </c>
    </row>
    <row r="490" spans="2:19" ht="13.5" hidden="1" thickBot="1">
      <c r="B490" s="609" t="s">
        <v>168</v>
      </c>
      <c r="C490" s="610"/>
      <c r="D490" s="648" t="s">
        <v>260</v>
      </c>
      <c r="E490" s="602"/>
      <c r="F490" s="603">
        <v>20</v>
      </c>
      <c r="G490" s="604">
        <v>3.44E-2</v>
      </c>
      <c r="H490" s="608">
        <f t="shared" si="149"/>
        <v>0.53147999999999995</v>
      </c>
      <c r="I490" s="675">
        <v>0</v>
      </c>
      <c r="J490" s="675"/>
      <c r="K490" s="606"/>
      <c r="L490" s="438" t="s">
        <v>777</v>
      </c>
      <c r="M490" s="429"/>
      <c r="N490" s="430"/>
      <c r="O490" s="287">
        <f t="shared" si="141"/>
        <v>0</v>
      </c>
      <c r="P490" s="287">
        <f t="shared" si="142"/>
        <v>0</v>
      </c>
      <c r="Q490" s="288"/>
      <c r="R490" s="315" t="str">
        <f>IF(P487&gt;0,"xy","")</f>
        <v/>
      </c>
      <c r="S490" s="385" t="str">
        <f t="shared" si="129"/>
        <v/>
      </c>
    </row>
    <row r="491" spans="2:19" ht="13.5" hidden="1" thickBot="1">
      <c r="B491" s="609">
        <v>810650</v>
      </c>
      <c r="C491" s="610" t="s">
        <v>212</v>
      </c>
      <c r="D491" s="611" t="s">
        <v>280</v>
      </c>
      <c r="E491" s="602"/>
      <c r="F491" s="603">
        <v>10</v>
      </c>
      <c r="G491" s="604">
        <v>7.2599999999999998E-2</v>
      </c>
      <c r="H491" s="608">
        <f t="shared" si="149"/>
        <v>0.61346999999999996</v>
      </c>
      <c r="I491" s="675">
        <v>33.57</v>
      </c>
      <c r="J491" s="675">
        <f t="shared" ref="J491" si="150">IF(ISBLANK(I491),"",SUM(H491:I491))</f>
        <v>34.18347</v>
      </c>
      <c r="K491" s="606">
        <f t="shared" si="147"/>
        <v>41.48</v>
      </c>
      <c r="L491" s="389" t="s">
        <v>19</v>
      </c>
      <c r="M491" s="30"/>
      <c r="N491" s="30"/>
      <c r="O491" s="287">
        <f t="shared" si="141"/>
        <v>0</v>
      </c>
      <c r="P491" s="287">
        <f t="shared" si="142"/>
        <v>0</v>
      </c>
      <c r="Q491" s="288"/>
      <c r="R491" s="243"/>
      <c r="S491" s="385" t="str">
        <f t="shared" si="129"/>
        <v/>
      </c>
    </row>
    <row r="492" spans="2:19" ht="13.5" hidden="1" thickBot="1">
      <c r="B492" s="609">
        <v>810300</v>
      </c>
      <c r="C492" s="610" t="s">
        <v>212</v>
      </c>
      <c r="D492" s="611" t="s">
        <v>281</v>
      </c>
      <c r="E492" s="602"/>
      <c r="F492" s="603"/>
      <c r="G492" s="604"/>
      <c r="H492" s="605">
        <f>SUM(H493:H495)</f>
        <v>6.1467510000000001</v>
      </c>
      <c r="I492" s="675">
        <v>18.32</v>
      </c>
      <c r="J492" s="675">
        <f t="shared" si="144"/>
        <v>24.466751000000002</v>
      </c>
      <c r="K492" s="606">
        <f t="shared" si="147"/>
        <v>29.69</v>
      </c>
      <c r="L492" s="389" t="s">
        <v>19</v>
      </c>
      <c r="M492" s="30"/>
      <c r="N492" s="30"/>
      <c r="O492" s="287">
        <f t="shared" si="141"/>
        <v>0</v>
      </c>
      <c r="P492" s="287">
        <f t="shared" si="142"/>
        <v>0</v>
      </c>
      <c r="Q492" s="288"/>
      <c r="R492" s="243"/>
      <c r="S492" s="385" t="str">
        <f t="shared" si="129"/>
        <v/>
      </c>
    </row>
    <row r="493" spans="2:19" ht="13.5" hidden="1" thickBot="1">
      <c r="B493" s="609" t="s">
        <v>168</v>
      </c>
      <c r="C493" s="610"/>
      <c r="D493" s="648" t="s">
        <v>218</v>
      </c>
      <c r="E493" s="602"/>
      <c r="F493" s="603">
        <v>500</v>
      </c>
      <c r="G493" s="604">
        <v>9.1999999999999998E-3</v>
      </c>
      <c r="H493" s="605">
        <f>IF(F493&lt;=30,(0.51*F493+4.28)*G493,((0.51*30+4.28)+0.42*(F493-30))*G493)</f>
        <v>1.9962160000000002</v>
      </c>
      <c r="I493" s="675">
        <v>0</v>
      </c>
      <c r="J493" s="675"/>
      <c r="K493" s="606"/>
      <c r="L493" s="438" t="s">
        <v>777</v>
      </c>
      <c r="M493" s="429"/>
      <c r="N493" s="430"/>
      <c r="O493" s="287">
        <f t="shared" si="141"/>
        <v>0</v>
      </c>
      <c r="P493" s="287">
        <f t="shared" si="142"/>
        <v>0</v>
      </c>
      <c r="Q493" s="288"/>
      <c r="R493" s="315" t="str">
        <f>IF(P492&gt;0,"xy","")</f>
        <v/>
      </c>
      <c r="S493" s="385" t="str">
        <f t="shared" ref="S493:S559" si="151">IF(R493="x","x",IF(R493="y","x",IF(R493="xy","x",IF(P493&gt;0,"x",""))))</f>
        <v/>
      </c>
    </row>
    <row r="494" spans="2:19" ht="13.5" hidden="1" thickBot="1">
      <c r="B494" s="609" t="s">
        <v>168</v>
      </c>
      <c r="C494" s="610"/>
      <c r="D494" s="648" t="s">
        <v>256</v>
      </c>
      <c r="E494" s="602"/>
      <c r="F494" s="603">
        <v>180</v>
      </c>
      <c r="G494" s="604">
        <v>3.2599999999999997E-2</v>
      </c>
      <c r="H494" s="608">
        <f t="shared" ref="H494:H496" si="152">IF(F494&lt;=30,(0.7*F494+1.45)*G494,((0.7*30+1.45)+0.58*(F494-30))*G494)</f>
        <v>3.5680699999999996</v>
      </c>
      <c r="I494" s="675">
        <v>0</v>
      </c>
      <c r="J494" s="675"/>
      <c r="K494" s="606"/>
      <c r="L494" s="438" t="s">
        <v>777</v>
      </c>
      <c r="M494" s="429"/>
      <c r="N494" s="430"/>
      <c r="O494" s="287">
        <f t="shared" si="141"/>
        <v>0</v>
      </c>
      <c r="P494" s="287">
        <f t="shared" si="142"/>
        <v>0</v>
      </c>
      <c r="Q494" s="288"/>
      <c r="R494" s="315" t="str">
        <f>IF(P492&gt;0,"xy","")</f>
        <v/>
      </c>
      <c r="S494" s="385" t="str">
        <f t="shared" si="151"/>
        <v/>
      </c>
    </row>
    <row r="495" spans="2:19" ht="13.5" hidden="1" thickBot="1">
      <c r="B495" s="609" t="s">
        <v>168</v>
      </c>
      <c r="C495" s="610"/>
      <c r="D495" s="648" t="s">
        <v>260</v>
      </c>
      <c r="E495" s="602"/>
      <c r="F495" s="603">
        <v>20</v>
      </c>
      <c r="G495" s="604">
        <v>3.7699999999999997E-2</v>
      </c>
      <c r="H495" s="608">
        <f t="shared" si="152"/>
        <v>0.5824649999999999</v>
      </c>
      <c r="I495" s="675">
        <v>0</v>
      </c>
      <c r="J495" s="675"/>
      <c r="K495" s="606"/>
      <c r="L495" s="438" t="s">
        <v>777</v>
      </c>
      <c r="M495" s="429"/>
      <c r="N495" s="430"/>
      <c r="O495" s="287">
        <f t="shared" si="141"/>
        <v>0</v>
      </c>
      <c r="P495" s="287">
        <f t="shared" si="142"/>
        <v>0</v>
      </c>
      <c r="Q495" s="288"/>
      <c r="R495" s="315" t="str">
        <f>IF(P492&gt;0,"xy","")</f>
        <v/>
      </c>
      <c r="S495" s="385" t="str">
        <f t="shared" si="151"/>
        <v/>
      </c>
    </row>
    <row r="496" spans="2:19" ht="13.5" hidden="1" thickBot="1">
      <c r="B496" s="609" t="s">
        <v>1890</v>
      </c>
      <c r="C496" s="610" t="s">
        <v>212</v>
      </c>
      <c r="D496" s="611" t="s">
        <v>282</v>
      </c>
      <c r="E496" s="602"/>
      <c r="F496" s="603">
        <v>10</v>
      </c>
      <c r="G496" s="604">
        <v>7.9500000000000001E-2</v>
      </c>
      <c r="H496" s="608">
        <f t="shared" si="152"/>
        <v>0.6717749999999999</v>
      </c>
      <c r="I496" s="675">
        <v>32.799999999999997</v>
      </c>
      <c r="J496" s="675">
        <f t="shared" si="144"/>
        <v>33.471774999999994</v>
      </c>
      <c r="K496" s="606">
        <f t="shared" si="147"/>
        <v>40.619999999999997</v>
      </c>
      <c r="L496" s="389" t="s">
        <v>19</v>
      </c>
      <c r="M496" s="30"/>
      <c r="N496" s="30"/>
      <c r="O496" s="287">
        <f t="shared" si="141"/>
        <v>0</v>
      </c>
      <c r="P496" s="287">
        <f t="shared" si="142"/>
        <v>0</v>
      </c>
      <c r="Q496" s="288"/>
      <c r="R496" s="243"/>
      <c r="S496" s="385" t="str">
        <f t="shared" si="151"/>
        <v/>
      </c>
    </row>
    <row r="497" spans="2:19" ht="13.5" hidden="1" thickBot="1">
      <c r="B497" s="609">
        <v>810400</v>
      </c>
      <c r="C497" s="610" t="s">
        <v>212</v>
      </c>
      <c r="D497" s="611" t="s">
        <v>283</v>
      </c>
      <c r="E497" s="602"/>
      <c r="F497" s="603"/>
      <c r="G497" s="604"/>
      <c r="H497" s="605">
        <f>SUM(H498:H500)</f>
        <v>13.006862000000002</v>
      </c>
      <c r="I497" s="675">
        <v>33.9</v>
      </c>
      <c r="J497" s="675">
        <f t="shared" si="144"/>
        <v>46.906862000000004</v>
      </c>
      <c r="K497" s="606">
        <f t="shared" si="147"/>
        <v>56.92</v>
      </c>
      <c r="L497" s="389" t="s">
        <v>19</v>
      </c>
      <c r="M497" s="30"/>
      <c r="N497" s="30"/>
      <c r="O497" s="287">
        <f t="shared" si="141"/>
        <v>0</v>
      </c>
      <c r="P497" s="287">
        <f t="shared" si="142"/>
        <v>0</v>
      </c>
      <c r="Q497" s="288"/>
      <c r="R497" s="243"/>
      <c r="S497" s="385" t="str">
        <f t="shared" si="151"/>
        <v/>
      </c>
    </row>
    <row r="498" spans="2:19" ht="13.5" hidden="1" thickBot="1">
      <c r="B498" s="609" t="s">
        <v>168</v>
      </c>
      <c r="C498" s="610"/>
      <c r="D498" s="648" t="s">
        <v>218</v>
      </c>
      <c r="E498" s="602"/>
      <c r="F498" s="603">
        <v>500</v>
      </c>
      <c r="G498" s="604">
        <v>1.9400000000000001E-2</v>
      </c>
      <c r="H498" s="605">
        <f>IF(F498&lt;=30,(0.51*F498+4.28)*G498,((0.51*30+4.28)+0.42*(F498-30))*G498)</f>
        <v>4.2094120000000004</v>
      </c>
      <c r="I498" s="675">
        <v>0</v>
      </c>
      <c r="J498" s="675"/>
      <c r="K498" s="606"/>
      <c r="L498" s="438" t="s">
        <v>777</v>
      </c>
      <c r="M498" s="429"/>
      <c r="N498" s="430"/>
      <c r="O498" s="287">
        <f t="shared" si="141"/>
        <v>0</v>
      </c>
      <c r="P498" s="287">
        <f t="shared" si="142"/>
        <v>0</v>
      </c>
      <c r="Q498" s="288"/>
      <c r="R498" s="315" t="str">
        <f>IF(P497&gt;0,"xy","")</f>
        <v/>
      </c>
      <c r="S498" s="385" t="str">
        <f t="shared" si="151"/>
        <v/>
      </c>
    </row>
    <row r="499" spans="2:19" ht="13.5" hidden="1" thickBot="1">
      <c r="B499" s="609" t="s">
        <v>168</v>
      </c>
      <c r="C499" s="610"/>
      <c r="D499" s="648" t="s">
        <v>256</v>
      </c>
      <c r="E499" s="602"/>
      <c r="F499" s="603">
        <v>180</v>
      </c>
      <c r="G499" s="604">
        <v>6.9099999999999995E-2</v>
      </c>
      <c r="H499" s="608">
        <f t="shared" ref="H499:H501" si="153">IF(F499&lt;=30,(0.7*F499+1.45)*G499,((0.7*30+1.45)+0.58*(F499-30))*G499)</f>
        <v>7.5629949999999999</v>
      </c>
      <c r="I499" s="675">
        <v>0</v>
      </c>
      <c r="J499" s="675"/>
      <c r="K499" s="606"/>
      <c r="L499" s="438" t="s">
        <v>777</v>
      </c>
      <c r="M499" s="429"/>
      <c r="N499" s="430"/>
      <c r="O499" s="287">
        <f t="shared" si="141"/>
        <v>0</v>
      </c>
      <c r="P499" s="287">
        <f t="shared" si="142"/>
        <v>0</v>
      </c>
      <c r="Q499" s="288"/>
      <c r="R499" s="315" t="str">
        <f>IF(P497&gt;0,"xy","")</f>
        <v/>
      </c>
      <c r="S499" s="385" t="str">
        <f t="shared" si="151"/>
        <v/>
      </c>
    </row>
    <row r="500" spans="2:19" ht="13.5" hidden="1" thickBot="1">
      <c r="B500" s="609" t="s">
        <v>168</v>
      </c>
      <c r="C500" s="610"/>
      <c r="D500" s="648" t="s">
        <v>260</v>
      </c>
      <c r="E500" s="602"/>
      <c r="F500" s="603">
        <v>20</v>
      </c>
      <c r="G500" s="604">
        <v>7.9899999999999999E-2</v>
      </c>
      <c r="H500" s="608">
        <f t="shared" si="153"/>
        <v>1.2344549999999999</v>
      </c>
      <c r="I500" s="675">
        <v>0</v>
      </c>
      <c r="J500" s="675"/>
      <c r="K500" s="606"/>
      <c r="L500" s="438" t="s">
        <v>777</v>
      </c>
      <c r="M500" s="429"/>
      <c r="N500" s="430"/>
      <c r="O500" s="287">
        <f t="shared" si="141"/>
        <v>0</v>
      </c>
      <c r="P500" s="287">
        <f t="shared" si="142"/>
        <v>0</v>
      </c>
      <c r="Q500" s="288"/>
      <c r="R500" s="315" t="str">
        <f>IF(P497&gt;0,"xy","")</f>
        <v/>
      </c>
      <c r="S500" s="385" t="str">
        <f t="shared" si="151"/>
        <v/>
      </c>
    </row>
    <row r="501" spans="2:19" ht="13.5" hidden="1" thickBot="1">
      <c r="B501" s="609">
        <v>810350</v>
      </c>
      <c r="C501" s="610" t="s">
        <v>212</v>
      </c>
      <c r="D501" s="611" t="s">
        <v>284</v>
      </c>
      <c r="E501" s="602"/>
      <c r="F501" s="603">
        <v>10</v>
      </c>
      <c r="G501" s="604">
        <v>0.16839999999999999</v>
      </c>
      <c r="H501" s="608">
        <f t="shared" si="153"/>
        <v>1.4229799999999999</v>
      </c>
      <c r="I501" s="675">
        <v>52.56</v>
      </c>
      <c r="J501" s="675">
        <f t="shared" ref="J501" si="154">IF(ISBLANK(I501),"",SUM(H501:I501))</f>
        <v>53.982980000000005</v>
      </c>
      <c r="K501" s="606">
        <f t="shared" si="147"/>
        <v>65.510000000000005</v>
      </c>
      <c r="L501" s="389" t="s">
        <v>19</v>
      </c>
      <c r="M501" s="425"/>
      <c r="N501" s="425"/>
      <c r="O501" s="287">
        <f t="shared" si="141"/>
        <v>0</v>
      </c>
      <c r="P501" s="391">
        <f t="shared" si="142"/>
        <v>0</v>
      </c>
      <c r="Q501" s="288"/>
      <c r="R501" s="243"/>
      <c r="S501" s="385" t="str">
        <f t="shared" si="151"/>
        <v/>
      </c>
    </row>
    <row r="502" spans="2:19" ht="13.5" hidden="1" thickBot="1">
      <c r="B502" s="624" t="s">
        <v>187</v>
      </c>
      <c r="C502" s="393"/>
      <c r="D502" s="394" t="s">
        <v>242</v>
      </c>
      <c r="E502" s="395"/>
      <c r="F502" s="396"/>
      <c r="G502" s="397"/>
      <c r="H502" s="398"/>
      <c r="I502" s="399"/>
      <c r="J502" s="399"/>
      <c r="K502" s="399"/>
      <c r="L502" s="399" t="s">
        <v>777</v>
      </c>
      <c r="M502" s="398"/>
      <c r="N502" s="399"/>
      <c r="O502" s="399"/>
      <c r="P502" s="400"/>
      <c r="Q502" s="288"/>
      <c r="R502" s="384" t="str">
        <f>IF(SUM(P503:P527)&gt;0,"y","")</f>
        <v/>
      </c>
      <c r="S502" s="385" t="str">
        <f t="shared" si="151"/>
        <v/>
      </c>
    </row>
    <row r="503" spans="2:19" ht="13.5" hidden="1" thickBot="1">
      <c r="B503" s="625" t="s">
        <v>187</v>
      </c>
      <c r="C503" s="401" t="s">
        <v>187</v>
      </c>
      <c r="D503" s="402"/>
      <c r="E503" s="403"/>
      <c r="F503" s="411"/>
      <c r="G503" s="405"/>
      <c r="H503" s="404"/>
      <c r="I503" s="406"/>
      <c r="J503" s="407"/>
      <c r="K503" s="408">
        <f t="shared" ref="K503:K526" si="155">IF(ISBLANK(J503),0,ROUND(J503*(1+$F$10)*(1+$F$11*E503),2))</f>
        <v>0</v>
      </c>
      <c r="L503" s="409" t="s">
        <v>777</v>
      </c>
      <c r="M503" s="425"/>
      <c r="N503" s="425"/>
      <c r="O503" s="287">
        <f t="shared" ref="O503" si="156">IF(ISBLANK(M503),0,ROUND(K503*M503,2))</f>
        <v>0</v>
      </c>
      <c r="P503" s="391">
        <f t="shared" ref="P503:P527" si="157">IF(ISBLANK(N503),0,ROUND(M503*N503,2))</f>
        <v>0</v>
      </c>
      <c r="Q503" s="288"/>
      <c r="R503" s="243"/>
      <c r="S503" s="385" t="str">
        <f t="shared" si="151"/>
        <v/>
      </c>
    </row>
    <row r="504" spans="2:19" ht="13.5" hidden="1" thickBot="1">
      <c r="B504" s="625" t="s">
        <v>187</v>
      </c>
      <c r="C504" s="401" t="s">
        <v>187</v>
      </c>
      <c r="D504" s="410"/>
      <c r="E504" s="403"/>
      <c r="F504" s="411"/>
      <c r="G504" s="405"/>
      <c r="H504" s="404"/>
      <c r="I504" s="406"/>
      <c r="J504" s="407"/>
      <c r="K504" s="412">
        <f t="shared" si="155"/>
        <v>0</v>
      </c>
      <c r="L504" s="409" t="s">
        <v>777</v>
      </c>
      <c r="M504" s="30"/>
      <c r="N504" s="30"/>
      <c r="O504" s="287">
        <f>IF(ISBLANK(M504),0,ROUND(K504*M504,2))</f>
        <v>0</v>
      </c>
      <c r="P504" s="287">
        <f t="shared" si="157"/>
        <v>0</v>
      </c>
      <c r="Q504" s="288"/>
      <c r="R504" s="243"/>
      <c r="S504" s="385" t="str">
        <f t="shared" si="151"/>
        <v/>
      </c>
    </row>
    <row r="505" spans="2:19" ht="13.5" hidden="1" thickBot="1">
      <c r="B505" s="625" t="s">
        <v>187</v>
      </c>
      <c r="C505" s="401" t="s">
        <v>187</v>
      </c>
      <c r="D505" s="410"/>
      <c r="E505" s="403"/>
      <c r="F505" s="411"/>
      <c r="G505" s="405"/>
      <c r="H505" s="404"/>
      <c r="I505" s="406"/>
      <c r="J505" s="407"/>
      <c r="K505" s="412">
        <f t="shared" si="155"/>
        <v>0</v>
      </c>
      <c r="L505" s="409" t="s">
        <v>777</v>
      </c>
      <c r="M505" s="30"/>
      <c r="N505" s="30"/>
      <c r="O505" s="287">
        <f t="shared" ref="O505:O527" si="158">IF(ISBLANK(M505),0,ROUND(K505*M505,2))</f>
        <v>0</v>
      </c>
      <c r="P505" s="287">
        <f t="shared" si="157"/>
        <v>0</v>
      </c>
      <c r="Q505" s="288"/>
      <c r="R505" s="243"/>
      <c r="S505" s="385" t="str">
        <f t="shared" si="151"/>
        <v/>
      </c>
    </row>
    <row r="506" spans="2:19" ht="13.5" hidden="1" thickBot="1">
      <c r="B506" s="625" t="s">
        <v>187</v>
      </c>
      <c r="C506" s="401" t="s">
        <v>187</v>
      </c>
      <c r="D506" s="410"/>
      <c r="E506" s="403"/>
      <c r="F506" s="411"/>
      <c r="G506" s="405"/>
      <c r="H506" s="404"/>
      <c r="I506" s="406"/>
      <c r="J506" s="407"/>
      <c r="K506" s="412">
        <f t="shared" si="155"/>
        <v>0</v>
      </c>
      <c r="L506" s="409" t="s">
        <v>777</v>
      </c>
      <c r="M506" s="30"/>
      <c r="N506" s="30"/>
      <c r="O506" s="287">
        <f t="shared" si="158"/>
        <v>0</v>
      </c>
      <c r="P506" s="287">
        <f t="shared" si="157"/>
        <v>0</v>
      </c>
      <c r="Q506" s="288"/>
      <c r="R506" s="243"/>
      <c r="S506" s="385" t="str">
        <f t="shared" si="151"/>
        <v/>
      </c>
    </row>
    <row r="507" spans="2:19" ht="13.5" hidden="1" thickBot="1">
      <c r="B507" s="625" t="s">
        <v>187</v>
      </c>
      <c r="C507" s="401" t="s">
        <v>187</v>
      </c>
      <c r="D507" s="410"/>
      <c r="E507" s="403"/>
      <c r="F507" s="411"/>
      <c r="G507" s="405"/>
      <c r="H507" s="404"/>
      <c r="I507" s="406"/>
      <c r="J507" s="407"/>
      <c r="K507" s="412">
        <f t="shared" si="155"/>
        <v>0</v>
      </c>
      <c r="L507" s="409" t="s">
        <v>777</v>
      </c>
      <c r="M507" s="30"/>
      <c r="N507" s="30"/>
      <c r="O507" s="287">
        <f t="shared" si="158"/>
        <v>0</v>
      </c>
      <c r="P507" s="287">
        <f t="shared" si="157"/>
        <v>0</v>
      </c>
      <c r="Q507" s="288"/>
      <c r="R507" s="243"/>
      <c r="S507" s="385" t="str">
        <f t="shared" si="151"/>
        <v/>
      </c>
    </row>
    <row r="508" spans="2:19" ht="13.5" hidden="1" thickBot="1">
      <c r="B508" s="625" t="s">
        <v>187</v>
      </c>
      <c r="C508" s="401" t="s">
        <v>187</v>
      </c>
      <c r="D508" s="410"/>
      <c r="E508" s="403"/>
      <c r="F508" s="411"/>
      <c r="G508" s="405"/>
      <c r="H508" s="404"/>
      <c r="I508" s="406"/>
      <c r="J508" s="407"/>
      <c r="K508" s="412">
        <f t="shared" si="155"/>
        <v>0</v>
      </c>
      <c r="L508" s="409" t="s">
        <v>777</v>
      </c>
      <c r="M508" s="30"/>
      <c r="N508" s="30"/>
      <c r="O508" s="287">
        <f t="shared" si="158"/>
        <v>0</v>
      </c>
      <c r="P508" s="287">
        <f t="shared" si="157"/>
        <v>0</v>
      </c>
      <c r="Q508" s="288"/>
      <c r="R508" s="243"/>
      <c r="S508" s="385" t="str">
        <f t="shared" si="151"/>
        <v/>
      </c>
    </row>
    <row r="509" spans="2:19" ht="13.5" hidden="1" thickBot="1">
      <c r="B509" s="625" t="s">
        <v>187</v>
      </c>
      <c r="C509" s="401" t="s">
        <v>187</v>
      </c>
      <c r="D509" s="410"/>
      <c r="E509" s="403"/>
      <c r="F509" s="411"/>
      <c r="G509" s="405"/>
      <c r="H509" s="404"/>
      <c r="I509" s="406"/>
      <c r="J509" s="407"/>
      <c r="K509" s="412">
        <f t="shared" si="155"/>
        <v>0</v>
      </c>
      <c r="L509" s="409" t="s">
        <v>777</v>
      </c>
      <c r="M509" s="30"/>
      <c r="N509" s="30"/>
      <c r="O509" s="287">
        <f t="shared" si="158"/>
        <v>0</v>
      </c>
      <c r="P509" s="287">
        <f t="shared" si="157"/>
        <v>0</v>
      </c>
      <c r="Q509" s="288"/>
      <c r="R509" s="243"/>
      <c r="S509" s="385" t="str">
        <f t="shared" si="151"/>
        <v/>
      </c>
    </row>
    <row r="510" spans="2:19" ht="13.5" hidden="1" thickBot="1">
      <c r="B510" s="625" t="s">
        <v>187</v>
      </c>
      <c r="C510" s="401" t="s">
        <v>187</v>
      </c>
      <c r="D510" s="410"/>
      <c r="E510" s="403"/>
      <c r="F510" s="411"/>
      <c r="G510" s="405"/>
      <c r="H510" s="404"/>
      <c r="I510" s="406"/>
      <c r="J510" s="407"/>
      <c r="K510" s="412">
        <f t="shared" si="155"/>
        <v>0</v>
      </c>
      <c r="L510" s="409" t="s">
        <v>777</v>
      </c>
      <c r="M510" s="30"/>
      <c r="N510" s="30"/>
      <c r="O510" s="287">
        <f t="shared" si="158"/>
        <v>0</v>
      </c>
      <c r="P510" s="287">
        <f t="shared" si="157"/>
        <v>0</v>
      </c>
      <c r="Q510" s="288"/>
      <c r="R510" s="243"/>
      <c r="S510" s="385" t="str">
        <f t="shared" si="151"/>
        <v/>
      </c>
    </row>
    <row r="511" spans="2:19" ht="13.5" hidden="1" thickBot="1">
      <c r="B511" s="625" t="s">
        <v>187</v>
      </c>
      <c r="C511" s="401" t="s">
        <v>187</v>
      </c>
      <c r="D511" s="410"/>
      <c r="E511" s="403"/>
      <c r="F511" s="411"/>
      <c r="G511" s="405"/>
      <c r="H511" s="404"/>
      <c r="I511" s="406"/>
      <c r="J511" s="407"/>
      <c r="K511" s="412">
        <f t="shared" si="155"/>
        <v>0</v>
      </c>
      <c r="L511" s="409" t="s">
        <v>777</v>
      </c>
      <c r="M511" s="30"/>
      <c r="N511" s="30"/>
      <c r="O511" s="287">
        <f t="shared" si="158"/>
        <v>0</v>
      </c>
      <c r="P511" s="287">
        <f t="shared" si="157"/>
        <v>0</v>
      </c>
      <c r="Q511" s="288"/>
      <c r="R511" s="243"/>
      <c r="S511" s="385" t="str">
        <f t="shared" si="151"/>
        <v/>
      </c>
    </row>
    <row r="512" spans="2:19" ht="13.5" hidden="1" thickBot="1">
      <c r="B512" s="625" t="s">
        <v>187</v>
      </c>
      <c r="C512" s="401" t="s">
        <v>187</v>
      </c>
      <c r="D512" s="410"/>
      <c r="E512" s="403"/>
      <c r="F512" s="411"/>
      <c r="G512" s="405"/>
      <c r="H512" s="404"/>
      <c r="I512" s="406"/>
      <c r="J512" s="407"/>
      <c r="K512" s="412">
        <f t="shared" si="155"/>
        <v>0</v>
      </c>
      <c r="L512" s="409" t="s">
        <v>777</v>
      </c>
      <c r="M512" s="30"/>
      <c r="N512" s="30"/>
      <c r="O512" s="287">
        <f t="shared" si="158"/>
        <v>0</v>
      </c>
      <c r="P512" s="287">
        <f t="shared" si="157"/>
        <v>0</v>
      </c>
      <c r="Q512" s="288"/>
      <c r="R512" s="243"/>
      <c r="S512" s="385" t="str">
        <f t="shared" si="151"/>
        <v/>
      </c>
    </row>
    <row r="513" spans="2:19" ht="13.5" hidden="1" thickBot="1">
      <c r="B513" s="625" t="s">
        <v>187</v>
      </c>
      <c r="C513" s="401" t="s">
        <v>187</v>
      </c>
      <c r="D513" s="410"/>
      <c r="E513" s="403"/>
      <c r="F513" s="411"/>
      <c r="G513" s="405"/>
      <c r="H513" s="404"/>
      <c r="I513" s="406"/>
      <c r="J513" s="407"/>
      <c r="K513" s="412">
        <f t="shared" si="155"/>
        <v>0</v>
      </c>
      <c r="L513" s="409" t="s">
        <v>777</v>
      </c>
      <c r="M513" s="30"/>
      <c r="N513" s="30"/>
      <c r="O513" s="287">
        <f t="shared" si="158"/>
        <v>0</v>
      </c>
      <c r="P513" s="287">
        <f t="shared" si="157"/>
        <v>0</v>
      </c>
      <c r="Q513" s="288"/>
      <c r="R513" s="243"/>
      <c r="S513" s="385" t="str">
        <f t="shared" si="151"/>
        <v/>
      </c>
    </row>
    <row r="514" spans="2:19" ht="13.5" hidden="1" thickBot="1">
      <c r="B514" s="625" t="s">
        <v>187</v>
      </c>
      <c r="C514" s="401" t="s">
        <v>187</v>
      </c>
      <c r="D514" s="410"/>
      <c r="E514" s="403"/>
      <c r="F514" s="411"/>
      <c r="G514" s="405"/>
      <c r="H514" s="404"/>
      <c r="I514" s="406"/>
      <c r="J514" s="407"/>
      <c r="K514" s="412">
        <f t="shared" si="155"/>
        <v>0</v>
      </c>
      <c r="L514" s="409" t="s">
        <v>777</v>
      </c>
      <c r="M514" s="30"/>
      <c r="N514" s="30"/>
      <c r="O514" s="287">
        <f t="shared" si="158"/>
        <v>0</v>
      </c>
      <c r="P514" s="287">
        <f t="shared" si="157"/>
        <v>0</v>
      </c>
      <c r="Q514" s="288"/>
      <c r="R514" s="243"/>
      <c r="S514" s="385" t="str">
        <f t="shared" si="151"/>
        <v/>
      </c>
    </row>
    <row r="515" spans="2:19" ht="13.5" hidden="1" thickBot="1">
      <c r="B515" s="625" t="s">
        <v>187</v>
      </c>
      <c r="C515" s="401" t="s">
        <v>187</v>
      </c>
      <c r="D515" s="410"/>
      <c r="E515" s="403"/>
      <c r="F515" s="411"/>
      <c r="G515" s="405"/>
      <c r="H515" s="404"/>
      <c r="I515" s="406"/>
      <c r="J515" s="407"/>
      <c r="K515" s="412">
        <f t="shared" si="155"/>
        <v>0</v>
      </c>
      <c r="L515" s="409" t="s">
        <v>777</v>
      </c>
      <c r="M515" s="30"/>
      <c r="N515" s="30"/>
      <c r="O515" s="287">
        <f t="shared" si="158"/>
        <v>0</v>
      </c>
      <c r="P515" s="287">
        <f t="shared" si="157"/>
        <v>0</v>
      </c>
      <c r="Q515" s="288"/>
      <c r="R515" s="243"/>
      <c r="S515" s="385" t="str">
        <f t="shared" si="151"/>
        <v/>
      </c>
    </row>
    <row r="516" spans="2:19" ht="13.5" hidden="1" thickBot="1">
      <c r="B516" s="625" t="s">
        <v>187</v>
      </c>
      <c r="C516" s="401" t="s">
        <v>187</v>
      </c>
      <c r="D516" s="410"/>
      <c r="E516" s="403"/>
      <c r="F516" s="411"/>
      <c r="G516" s="405"/>
      <c r="H516" s="404"/>
      <c r="I516" s="406"/>
      <c r="J516" s="407"/>
      <c r="K516" s="412">
        <f t="shared" si="155"/>
        <v>0</v>
      </c>
      <c r="L516" s="409" t="s">
        <v>777</v>
      </c>
      <c r="M516" s="30"/>
      <c r="N516" s="30"/>
      <c r="O516" s="287">
        <f t="shared" si="158"/>
        <v>0</v>
      </c>
      <c r="P516" s="287">
        <f t="shared" si="157"/>
        <v>0</v>
      </c>
      <c r="Q516" s="288"/>
      <c r="R516" s="243"/>
      <c r="S516" s="385" t="str">
        <f t="shared" si="151"/>
        <v/>
      </c>
    </row>
    <row r="517" spans="2:19" ht="13.5" hidden="1" thickBot="1">
      <c r="B517" s="625" t="s">
        <v>187</v>
      </c>
      <c r="C517" s="401" t="s">
        <v>187</v>
      </c>
      <c r="D517" s="410"/>
      <c r="E517" s="403"/>
      <c r="F517" s="411"/>
      <c r="G517" s="405"/>
      <c r="H517" s="404"/>
      <c r="I517" s="406"/>
      <c r="J517" s="407"/>
      <c r="K517" s="412">
        <f t="shared" si="155"/>
        <v>0</v>
      </c>
      <c r="L517" s="409" t="s">
        <v>777</v>
      </c>
      <c r="M517" s="30"/>
      <c r="N517" s="30"/>
      <c r="O517" s="287">
        <f t="shared" si="158"/>
        <v>0</v>
      </c>
      <c r="P517" s="287">
        <f t="shared" si="157"/>
        <v>0</v>
      </c>
      <c r="Q517" s="288"/>
      <c r="R517" s="243"/>
      <c r="S517" s="385" t="str">
        <f t="shared" si="151"/>
        <v/>
      </c>
    </row>
    <row r="518" spans="2:19" ht="13.5" hidden="1" thickBot="1">
      <c r="B518" s="625" t="s">
        <v>187</v>
      </c>
      <c r="C518" s="401" t="s">
        <v>187</v>
      </c>
      <c r="D518" s="410"/>
      <c r="E518" s="403"/>
      <c r="F518" s="411"/>
      <c r="G518" s="405"/>
      <c r="H518" s="404"/>
      <c r="I518" s="406"/>
      <c r="J518" s="407"/>
      <c r="K518" s="412">
        <f t="shared" si="155"/>
        <v>0</v>
      </c>
      <c r="L518" s="409" t="s">
        <v>777</v>
      </c>
      <c r="M518" s="30"/>
      <c r="N518" s="30"/>
      <c r="O518" s="287">
        <f t="shared" si="158"/>
        <v>0</v>
      </c>
      <c r="P518" s="287">
        <f t="shared" si="157"/>
        <v>0</v>
      </c>
      <c r="Q518" s="288"/>
      <c r="R518" s="243"/>
      <c r="S518" s="385" t="str">
        <f t="shared" si="151"/>
        <v/>
      </c>
    </row>
    <row r="519" spans="2:19" ht="13.5" hidden="1" thickBot="1">
      <c r="B519" s="625" t="s">
        <v>187</v>
      </c>
      <c r="C519" s="401" t="s">
        <v>187</v>
      </c>
      <c r="D519" s="410"/>
      <c r="E519" s="403"/>
      <c r="F519" s="411"/>
      <c r="G519" s="405"/>
      <c r="H519" s="404"/>
      <c r="I519" s="406"/>
      <c r="J519" s="407"/>
      <c r="K519" s="412">
        <f t="shared" si="155"/>
        <v>0</v>
      </c>
      <c r="L519" s="409" t="s">
        <v>777</v>
      </c>
      <c r="M519" s="30"/>
      <c r="N519" s="30"/>
      <c r="O519" s="287">
        <f t="shared" si="158"/>
        <v>0</v>
      </c>
      <c r="P519" s="287">
        <f t="shared" si="157"/>
        <v>0</v>
      </c>
      <c r="Q519" s="288"/>
      <c r="R519" s="243"/>
      <c r="S519" s="385" t="str">
        <f t="shared" si="151"/>
        <v/>
      </c>
    </row>
    <row r="520" spans="2:19" ht="13.5" hidden="1" thickBot="1">
      <c r="B520" s="625" t="s">
        <v>187</v>
      </c>
      <c r="C520" s="401" t="s">
        <v>187</v>
      </c>
      <c r="D520" s="410"/>
      <c r="E520" s="403"/>
      <c r="F520" s="411"/>
      <c r="G520" s="405"/>
      <c r="H520" s="404"/>
      <c r="I520" s="406"/>
      <c r="J520" s="407"/>
      <c r="K520" s="412">
        <f t="shared" si="155"/>
        <v>0</v>
      </c>
      <c r="L520" s="409" t="s">
        <v>777</v>
      </c>
      <c r="M520" s="30"/>
      <c r="N520" s="30"/>
      <c r="O520" s="287">
        <f t="shared" si="158"/>
        <v>0</v>
      </c>
      <c r="P520" s="287">
        <f t="shared" si="157"/>
        <v>0</v>
      </c>
      <c r="Q520" s="288"/>
      <c r="R520" s="243"/>
      <c r="S520" s="385" t="str">
        <f t="shared" si="151"/>
        <v/>
      </c>
    </row>
    <row r="521" spans="2:19" ht="13.5" hidden="1" thickBot="1">
      <c r="B521" s="625" t="s">
        <v>187</v>
      </c>
      <c r="C521" s="401" t="s">
        <v>187</v>
      </c>
      <c r="D521" s="410"/>
      <c r="E521" s="403"/>
      <c r="F521" s="411"/>
      <c r="G521" s="405"/>
      <c r="H521" s="404"/>
      <c r="I521" s="406"/>
      <c r="J521" s="407"/>
      <c r="K521" s="412">
        <f t="shared" si="155"/>
        <v>0</v>
      </c>
      <c r="L521" s="409" t="s">
        <v>777</v>
      </c>
      <c r="M521" s="30"/>
      <c r="N521" s="30"/>
      <c r="O521" s="287">
        <f t="shared" si="158"/>
        <v>0</v>
      </c>
      <c r="P521" s="287">
        <f t="shared" si="157"/>
        <v>0</v>
      </c>
      <c r="Q521" s="288"/>
      <c r="R521" s="243"/>
      <c r="S521" s="385" t="str">
        <f t="shared" si="151"/>
        <v/>
      </c>
    </row>
    <row r="522" spans="2:19" ht="13.5" hidden="1" thickBot="1">
      <c r="B522" s="625" t="s">
        <v>187</v>
      </c>
      <c r="C522" s="401" t="s">
        <v>187</v>
      </c>
      <c r="D522" s="410"/>
      <c r="E522" s="403"/>
      <c r="F522" s="411"/>
      <c r="G522" s="405"/>
      <c r="H522" s="404"/>
      <c r="I522" s="406"/>
      <c r="J522" s="407"/>
      <c r="K522" s="412">
        <f t="shared" si="155"/>
        <v>0</v>
      </c>
      <c r="L522" s="409" t="s">
        <v>777</v>
      </c>
      <c r="M522" s="30"/>
      <c r="N522" s="30"/>
      <c r="O522" s="287">
        <f t="shared" si="158"/>
        <v>0</v>
      </c>
      <c r="P522" s="287">
        <f t="shared" si="157"/>
        <v>0</v>
      </c>
      <c r="Q522" s="288"/>
      <c r="R522" s="243"/>
      <c r="S522" s="385" t="str">
        <f t="shared" si="151"/>
        <v/>
      </c>
    </row>
    <row r="523" spans="2:19" ht="13.5" hidden="1" thickBot="1">
      <c r="B523" s="625" t="s">
        <v>187</v>
      </c>
      <c r="C523" s="401" t="s">
        <v>187</v>
      </c>
      <c r="D523" s="410"/>
      <c r="E523" s="403"/>
      <c r="F523" s="411"/>
      <c r="G523" s="405"/>
      <c r="H523" s="404"/>
      <c r="I523" s="406"/>
      <c r="J523" s="407"/>
      <c r="K523" s="412">
        <f t="shared" si="155"/>
        <v>0</v>
      </c>
      <c r="L523" s="409" t="s">
        <v>777</v>
      </c>
      <c r="M523" s="30"/>
      <c r="N523" s="30"/>
      <c r="O523" s="287">
        <f t="shared" si="158"/>
        <v>0</v>
      </c>
      <c r="P523" s="287">
        <f t="shared" si="157"/>
        <v>0</v>
      </c>
      <c r="Q523" s="288"/>
      <c r="R523" s="243"/>
      <c r="S523" s="385" t="str">
        <f t="shared" si="151"/>
        <v/>
      </c>
    </row>
    <row r="524" spans="2:19" ht="13.5" hidden="1" thickBot="1">
      <c r="B524" s="625" t="s">
        <v>187</v>
      </c>
      <c r="C524" s="401" t="s">
        <v>187</v>
      </c>
      <c r="D524" s="410"/>
      <c r="E524" s="403"/>
      <c r="F524" s="411"/>
      <c r="G524" s="405"/>
      <c r="H524" s="404"/>
      <c r="I524" s="406"/>
      <c r="J524" s="407"/>
      <c r="K524" s="412">
        <f t="shared" si="155"/>
        <v>0</v>
      </c>
      <c r="L524" s="409" t="s">
        <v>777</v>
      </c>
      <c r="M524" s="30"/>
      <c r="N524" s="30"/>
      <c r="O524" s="287">
        <f t="shared" si="158"/>
        <v>0</v>
      </c>
      <c r="P524" s="287">
        <f t="shared" si="157"/>
        <v>0</v>
      </c>
      <c r="Q524" s="288"/>
      <c r="R524" s="243"/>
      <c r="S524" s="385" t="str">
        <f t="shared" si="151"/>
        <v/>
      </c>
    </row>
    <row r="525" spans="2:19" ht="13.5" hidden="1" thickBot="1">
      <c r="B525" s="625" t="s">
        <v>187</v>
      </c>
      <c r="C525" s="401" t="s">
        <v>187</v>
      </c>
      <c r="D525" s="410"/>
      <c r="E525" s="403"/>
      <c r="F525" s="411"/>
      <c r="G525" s="405"/>
      <c r="H525" s="404"/>
      <c r="I525" s="406"/>
      <c r="J525" s="407"/>
      <c r="K525" s="412">
        <f t="shared" si="155"/>
        <v>0</v>
      </c>
      <c r="L525" s="409" t="s">
        <v>777</v>
      </c>
      <c r="M525" s="30"/>
      <c r="N525" s="30"/>
      <c r="O525" s="287">
        <f t="shared" si="158"/>
        <v>0</v>
      </c>
      <c r="P525" s="287">
        <f t="shared" si="157"/>
        <v>0</v>
      </c>
      <c r="Q525" s="288"/>
      <c r="R525" s="243"/>
      <c r="S525" s="385" t="str">
        <f t="shared" si="151"/>
        <v/>
      </c>
    </row>
    <row r="526" spans="2:19" ht="13.5" hidden="1" thickBot="1">
      <c r="B526" s="625" t="s">
        <v>187</v>
      </c>
      <c r="C526" s="401" t="s">
        <v>187</v>
      </c>
      <c r="D526" s="410"/>
      <c r="E526" s="403"/>
      <c r="F526" s="411"/>
      <c r="G526" s="405"/>
      <c r="H526" s="404"/>
      <c r="I526" s="406"/>
      <c r="J526" s="407"/>
      <c r="K526" s="412">
        <f t="shared" si="155"/>
        <v>0</v>
      </c>
      <c r="L526" s="409" t="s">
        <v>777</v>
      </c>
      <c r="M526" s="30"/>
      <c r="N526" s="30"/>
      <c r="O526" s="287">
        <f t="shared" si="158"/>
        <v>0</v>
      </c>
      <c r="P526" s="287">
        <f t="shared" si="157"/>
        <v>0</v>
      </c>
      <c r="Q526" s="288"/>
      <c r="R526" s="243"/>
      <c r="S526" s="385" t="str">
        <f t="shared" si="151"/>
        <v/>
      </c>
    </row>
    <row r="527" spans="2:19" ht="13.5" hidden="1" thickBot="1">
      <c r="B527" s="626" t="s">
        <v>187</v>
      </c>
      <c r="C527" s="413" t="s">
        <v>187</v>
      </c>
      <c r="D527" s="414"/>
      <c r="E527" s="415"/>
      <c r="F527" s="416"/>
      <c r="G527" s="417"/>
      <c r="H527" s="418"/>
      <c r="I527" s="419"/>
      <c r="J527" s="420"/>
      <c r="K527" s="421"/>
      <c r="L527" s="422" t="s">
        <v>777</v>
      </c>
      <c r="M527" s="30"/>
      <c r="N527" s="30"/>
      <c r="O527" s="423">
        <f t="shared" si="158"/>
        <v>0</v>
      </c>
      <c r="P527" s="423">
        <f t="shared" si="157"/>
        <v>0</v>
      </c>
      <c r="Q527" s="288"/>
      <c r="R527" s="243"/>
      <c r="S527" s="385" t="str">
        <f t="shared" si="151"/>
        <v/>
      </c>
    </row>
    <row r="528" spans="2:19" ht="13.5" thickBot="1">
      <c r="B528" s="627" t="s">
        <v>233</v>
      </c>
      <c r="C528" s="684"/>
      <c r="D528" s="685" t="s">
        <v>836</v>
      </c>
      <c r="E528" s="679"/>
      <c r="F528" s="665"/>
      <c r="G528" s="666"/>
      <c r="H528" s="667"/>
      <c r="I528" s="619"/>
      <c r="J528" s="619"/>
      <c r="K528" s="619"/>
      <c r="L528" s="619" t="s">
        <v>777</v>
      </c>
      <c r="M528" s="382"/>
      <c r="N528" s="383"/>
      <c r="O528" s="383"/>
      <c r="P528" s="295"/>
      <c r="Q528" s="296">
        <f>SUM(P529:P724)</f>
        <v>10356.049999999999</v>
      </c>
      <c r="R528" s="315" t="str">
        <f>IF(Q528&gt;0,"xy","")</f>
        <v>xy</v>
      </c>
      <c r="S528" s="385" t="str">
        <f t="shared" si="151"/>
        <v>x</v>
      </c>
    </row>
    <row r="529" spans="2:20" hidden="1">
      <c r="B529" s="609" t="s">
        <v>1891</v>
      </c>
      <c r="C529" s="610" t="s">
        <v>212</v>
      </c>
      <c r="D529" s="611" t="s">
        <v>521</v>
      </c>
      <c r="E529" s="602"/>
      <c r="F529" s="603">
        <v>10</v>
      </c>
      <c r="G529" s="604">
        <f>ROUND(0.017*2.34,4)</f>
        <v>3.9800000000000002E-2</v>
      </c>
      <c r="H529" s="608">
        <f t="shared" ref="H529:H532" si="159">IF(F529&lt;=30,(0.7*F529+1.45)*G529,((0.7*30+1.45)+0.58*(F529-30))*G529)</f>
        <v>0.33631</v>
      </c>
      <c r="I529" s="675">
        <v>16.496431999999999</v>
      </c>
      <c r="J529" s="675">
        <f>IF(ISBLANK(I529),"",SUM(H529:I529))</f>
        <v>16.832742</v>
      </c>
      <c r="K529" s="606">
        <f t="shared" ref="K529:K599" si="160">IF(ISBLANK(I529),0,ROUND(J529*(1+$F$10)*(1+$F$11*E529),2))</f>
        <v>20.43</v>
      </c>
      <c r="L529" s="607" t="s">
        <v>19</v>
      </c>
      <c r="M529" s="30"/>
      <c r="N529" s="30"/>
      <c r="O529" s="287">
        <f t="shared" ref="O529:O660" si="161">IF(ISBLANK(M529),0,ROUND(K529*M529,2))</f>
        <v>0</v>
      </c>
      <c r="P529" s="287">
        <f t="shared" ref="P529:P660" si="162">IF(ISBLANK(N529),0,ROUND(M529*N529,2))</f>
        <v>0</v>
      </c>
      <c r="Q529" s="288"/>
      <c r="R529" s="243"/>
      <c r="S529" s="385" t="str">
        <f t="shared" si="151"/>
        <v/>
      </c>
    </row>
    <row r="530" spans="2:20" hidden="1">
      <c r="B530" s="609" t="s">
        <v>1892</v>
      </c>
      <c r="C530" s="610" t="s">
        <v>212</v>
      </c>
      <c r="D530" s="611" t="s">
        <v>781</v>
      </c>
      <c r="E530" s="602"/>
      <c r="F530" s="603">
        <v>10</v>
      </c>
      <c r="G530" s="604">
        <f>ROUND(0.01125*2.34,4)</f>
        <v>2.63E-2</v>
      </c>
      <c r="H530" s="608">
        <f t="shared" si="159"/>
        <v>0.22223499999999999</v>
      </c>
      <c r="I530" s="675">
        <v>10.852863999999999</v>
      </c>
      <c r="J530" s="675">
        <f>IF(ISBLANK(I530),"",SUM(H530:I530))</f>
        <v>11.075098999999998</v>
      </c>
      <c r="K530" s="606">
        <f t="shared" si="160"/>
        <v>13.44</v>
      </c>
      <c r="L530" s="607" t="s">
        <v>19</v>
      </c>
      <c r="M530" s="30"/>
      <c r="N530" s="30"/>
      <c r="O530" s="287">
        <f t="shared" si="161"/>
        <v>0</v>
      </c>
      <c r="P530" s="287">
        <f t="shared" si="162"/>
        <v>0</v>
      </c>
      <c r="Q530" s="288"/>
      <c r="R530" s="243"/>
      <c r="S530" s="385" t="str">
        <f t="shared" si="151"/>
        <v/>
      </c>
    </row>
    <row r="531" spans="2:20" hidden="1">
      <c r="B531" s="609" t="s">
        <v>1893</v>
      </c>
      <c r="C531" s="610" t="s">
        <v>212</v>
      </c>
      <c r="D531" s="611" t="s">
        <v>523</v>
      </c>
      <c r="E531" s="602"/>
      <c r="F531" s="603">
        <v>10</v>
      </c>
      <c r="G531" s="604">
        <f>ROUND(0.014*2.34,4)</f>
        <v>3.2800000000000003E-2</v>
      </c>
      <c r="H531" s="608">
        <f t="shared" si="159"/>
        <v>0.27716000000000002</v>
      </c>
      <c r="I531" s="675">
        <v>13.505891999999999</v>
      </c>
      <c r="J531" s="675">
        <f>IF(ISBLANK(I531),"",SUM(H531:I531))</f>
        <v>13.783052</v>
      </c>
      <c r="K531" s="606">
        <f t="shared" si="160"/>
        <v>16.73</v>
      </c>
      <c r="L531" s="607" t="s">
        <v>19</v>
      </c>
      <c r="M531" s="30"/>
      <c r="N531" s="30"/>
      <c r="O531" s="287">
        <f t="shared" si="161"/>
        <v>0</v>
      </c>
      <c r="P531" s="287">
        <f t="shared" si="162"/>
        <v>0</v>
      </c>
      <c r="Q531" s="288"/>
      <c r="R531" s="243"/>
      <c r="S531" s="385" t="str">
        <f t="shared" si="151"/>
        <v/>
      </c>
    </row>
    <row r="532" spans="2:20" hidden="1">
      <c r="B532" s="609" t="s">
        <v>1894</v>
      </c>
      <c r="C532" s="610" t="s">
        <v>517</v>
      </c>
      <c r="D532" s="611" t="s">
        <v>524</v>
      </c>
      <c r="E532" s="602"/>
      <c r="F532" s="603">
        <v>10</v>
      </c>
      <c r="G532" s="604">
        <f>ROUND(0.012*1.8,4)</f>
        <v>2.1600000000000001E-2</v>
      </c>
      <c r="H532" s="608">
        <f t="shared" si="159"/>
        <v>0.18251999999999999</v>
      </c>
      <c r="I532" s="675">
        <v>41.73</v>
      </c>
      <c r="J532" s="675">
        <f>IF(ISBLANK(I532),"",SUM(H532:I532))</f>
        <v>41.912519999999994</v>
      </c>
      <c r="K532" s="606">
        <f t="shared" si="160"/>
        <v>50.86</v>
      </c>
      <c r="L532" s="607" t="s">
        <v>19</v>
      </c>
      <c r="M532" s="30"/>
      <c r="N532" s="30"/>
      <c r="O532" s="287">
        <f t="shared" si="161"/>
        <v>0</v>
      </c>
      <c r="P532" s="287">
        <f t="shared" si="162"/>
        <v>0</v>
      </c>
      <c r="Q532" s="288"/>
      <c r="R532" s="243"/>
      <c r="S532" s="385" t="str">
        <f t="shared" si="151"/>
        <v/>
      </c>
    </row>
    <row r="533" spans="2:20" hidden="1">
      <c r="B533" s="609" t="s">
        <v>1887</v>
      </c>
      <c r="C533" s="610" t="s">
        <v>212</v>
      </c>
      <c r="D533" s="611" t="s">
        <v>285</v>
      </c>
      <c r="E533" s="602"/>
      <c r="F533" s="603">
        <v>0</v>
      </c>
      <c r="G533" s="604"/>
      <c r="H533" s="605">
        <v>0</v>
      </c>
      <c r="I533" s="675">
        <v>123.85000000000001</v>
      </c>
      <c r="J533" s="675">
        <f t="shared" ref="J533:J534" si="163">IF(ISBLANK(I533),"",SUM(H533:I533))</f>
        <v>123.85000000000001</v>
      </c>
      <c r="K533" s="606">
        <f t="shared" si="160"/>
        <v>150.29</v>
      </c>
      <c r="L533" s="607" t="s">
        <v>16</v>
      </c>
      <c r="M533" s="30"/>
      <c r="N533" s="30"/>
      <c r="O533" s="287">
        <f t="shared" si="161"/>
        <v>0</v>
      </c>
      <c r="P533" s="287">
        <f t="shared" si="162"/>
        <v>0</v>
      </c>
      <c r="Q533" s="288"/>
      <c r="R533" s="243"/>
      <c r="S533" s="385" t="str">
        <f t="shared" si="151"/>
        <v/>
      </c>
    </row>
    <row r="534" spans="2:20">
      <c r="B534" s="609" t="s">
        <v>1883</v>
      </c>
      <c r="C534" s="610" t="s">
        <v>212</v>
      </c>
      <c r="D534" s="611" t="s">
        <v>1036</v>
      </c>
      <c r="E534" s="602"/>
      <c r="F534" s="603">
        <v>0</v>
      </c>
      <c r="G534" s="604"/>
      <c r="H534" s="605">
        <v>0</v>
      </c>
      <c r="I534" s="675">
        <v>287.76</v>
      </c>
      <c r="J534" s="675">
        <f t="shared" si="163"/>
        <v>287.76</v>
      </c>
      <c r="K534" s="606">
        <f t="shared" si="160"/>
        <v>349.2</v>
      </c>
      <c r="L534" s="607" t="s">
        <v>16</v>
      </c>
      <c r="M534" s="30">
        <v>2.73</v>
      </c>
      <c r="N534" s="30">
        <v>349.2</v>
      </c>
      <c r="O534" s="287">
        <f t="shared" si="161"/>
        <v>953.32</v>
      </c>
      <c r="P534" s="287">
        <f t="shared" si="162"/>
        <v>953.32</v>
      </c>
      <c r="Q534" s="288"/>
      <c r="R534" s="243" t="s">
        <v>174</v>
      </c>
      <c r="S534" s="385" t="str">
        <f t="shared" si="151"/>
        <v>x</v>
      </c>
      <c r="T534" s="3" t="s">
        <v>174</v>
      </c>
    </row>
    <row r="535" spans="2:20" hidden="1">
      <c r="B535" s="609" t="s">
        <v>1936</v>
      </c>
      <c r="C535" s="610" t="s">
        <v>843</v>
      </c>
      <c r="D535" s="611" t="s">
        <v>210</v>
      </c>
      <c r="E535" s="602"/>
      <c r="F535" s="639">
        <v>0</v>
      </c>
      <c r="G535" s="604"/>
      <c r="H535" s="605">
        <v>0</v>
      </c>
      <c r="I535" s="675">
        <v>1.65</v>
      </c>
      <c r="J535" s="675">
        <f>IF(ISBLANK(I535),"",SUM(H535:I535))</f>
        <v>1.65</v>
      </c>
      <c r="K535" s="606">
        <f t="shared" si="160"/>
        <v>2</v>
      </c>
      <c r="L535" s="607" t="s">
        <v>18</v>
      </c>
      <c r="M535" s="30"/>
      <c r="N535" s="30"/>
      <c r="O535" s="287">
        <f t="shared" si="161"/>
        <v>0</v>
      </c>
      <c r="P535" s="287">
        <f t="shared" si="162"/>
        <v>0</v>
      </c>
      <c r="Q535" s="288"/>
      <c r="R535" s="243"/>
      <c r="S535" s="385" t="str">
        <f t="shared" si="151"/>
        <v/>
      </c>
    </row>
    <row r="536" spans="2:20" hidden="1">
      <c r="B536" s="609" t="s">
        <v>1916</v>
      </c>
      <c r="C536" s="610" t="s">
        <v>212</v>
      </c>
      <c r="D536" s="648" t="s">
        <v>357</v>
      </c>
      <c r="E536" s="602"/>
      <c r="F536" s="603">
        <v>20</v>
      </c>
      <c r="G536" s="604">
        <v>1.7250000000000001</v>
      </c>
      <c r="H536" s="605">
        <f t="shared" ref="H536:H537" si="164">IF(F536=0,0,IF(F536&lt;=30,(0.7*F536+1.45)*G536,((0.7*30+1.45)+0.58*(F536-30))*G536))</f>
        <v>26.651250000000001</v>
      </c>
      <c r="I536" s="675">
        <v>64.550000000000011</v>
      </c>
      <c r="J536" s="675">
        <f t="shared" ref="J536:J537" si="165">IF(ISBLANK(I536),"",SUM(H536:I536))</f>
        <v>91.201250000000016</v>
      </c>
      <c r="K536" s="606">
        <f t="shared" si="160"/>
        <v>110.67</v>
      </c>
      <c r="L536" s="607" t="s">
        <v>16</v>
      </c>
      <c r="M536" s="30"/>
      <c r="N536" s="30"/>
      <c r="O536" s="287">
        <f t="shared" si="161"/>
        <v>0</v>
      </c>
      <c r="P536" s="287">
        <f t="shared" si="162"/>
        <v>0</v>
      </c>
      <c r="Q536" s="288"/>
      <c r="R536" s="243"/>
      <c r="S536" s="385" t="str">
        <f t="shared" si="151"/>
        <v/>
      </c>
    </row>
    <row r="537" spans="2:20" hidden="1">
      <c r="B537" s="609" t="s">
        <v>1918</v>
      </c>
      <c r="C537" s="610" t="s">
        <v>212</v>
      </c>
      <c r="D537" s="648" t="s">
        <v>358</v>
      </c>
      <c r="E537" s="602"/>
      <c r="F537" s="603">
        <v>20</v>
      </c>
      <c r="G537" s="604">
        <v>1.5</v>
      </c>
      <c r="H537" s="605">
        <f t="shared" si="164"/>
        <v>23.174999999999997</v>
      </c>
      <c r="I537" s="675">
        <v>107.99000000000001</v>
      </c>
      <c r="J537" s="675">
        <f t="shared" si="165"/>
        <v>131.16500000000002</v>
      </c>
      <c r="K537" s="606">
        <f t="shared" si="160"/>
        <v>159.16999999999999</v>
      </c>
      <c r="L537" s="607" t="s">
        <v>16</v>
      </c>
      <c r="M537" s="30"/>
      <c r="N537" s="30"/>
      <c r="O537" s="287">
        <f t="shared" si="161"/>
        <v>0</v>
      </c>
      <c r="P537" s="287">
        <f t="shared" si="162"/>
        <v>0</v>
      </c>
      <c r="Q537" s="288"/>
      <c r="R537" s="243"/>
      <c r="S537" s="385" t="str">
        <f t="shared" si="151"/>
        <v/>
      </c>
    </row>
    <row r="538" spans="2:20">
      <c r="B538" s="609" t="s">
        <v>243</v>
      </c>
      <c r="C538" s="610" t="s">
        <v>212</v>
      </c>
      <c r="D538" s="611" t="s">
        <v>286</v>
      </c>
      <c r="E538" s="602"/>
      <c r="F538" s="603"/>
      <c r="G538" s="604"/>
      <c r="H538" s="605">
        <v>0.97</v>
      </c>
      <c r="I538" s="675">
        <v>37.35</v>
      </c>
      <c r="J538" s="675">
        <v>38.32</v>
      </c>
      <c r="K538" s="606">
        <f t="shared" si="160"/>
        <v>46.5</v>
      </c>
      <c r="L538" s="607" t="s">
        <v>16</v>
      </c>
      <c r="M538" s="30">
        <v>109.65</v>
      </c>
      <c r="N538" s="30">
        <v>46.5</v>
      </c>
      <c r="O538" s="287">
        <f t="shared" si="161"/>
        <v>5098.7299999999996</v>
      </c>
      <c r="P538" s="287">
        <f t="shared" si="162"/>
        <v>5098.7299999999996</v>
      </c>
      <c r="Q538" s="288"/>
      <c r="R538" s="243" t="s">
        <v>174</v>
      </c>
      <c r="S538" s="385" t="str">
        <f t="shared" si="151"/>
        <v>x</v>
      </c>
      <c r="T538" s="3" t="s">
        <v>174</v>
      </c>
    </row>
    <row r="539" spans="2:20">
      <c r="B539" s="609" t="s">
        <v>168</v>
      </c>
      <c r="C539" s="610"/>
      <c r="D539" s="648" t="s">
        <v>218</v>
      </c>
      <c r="E539" s="602"/>
      <c r="F539" s="603">
        <v>500</v>
      </c>
      <c r="G539" s="604">
        <v>0.18</v>
      </c>
      <c r="H539" s="605">
        <v>7.08</v>
      </c>
      <c r="I539" s="675">
        <v>0</v>
      </c>
      <c r="J539" s="675"/>
      <c r="K539" s="606">
        <f t="shared" si="160"/>
        <v>0</v>
      </c>
      <c r="L539" s="716" t="s">
        <v>777</v>
      </c>
      <c r="M539" s="429"/>
      <c r="N539" s="430"/>
      <c r="O539" s="287">
        <f t="shared" si="161"/>
        <v>0</v>
      </c>
      <c r="P539" s="287">
        <f t="shared" si="162"/>
        <v>0</v>
      </c>
      <c r="Q539" s="288"/>
      <c r="R539" s="315" t="str">
        <f>IF(P538&gt;0,"xy","")</f>
        <v>xy</v>
      </c>
      <c r="S539" s="385" t="str">
        <f t="shared" si="151"/>
        <v>x</v>
      </c>
    </row>
    <row r="540" spans="2:20">
      <c r="B540" s="609" t="s">
        <v>168</v>
      </c>
      <c r="C540" s="610"/>
      <c r="D540" s="648" t="s">
        <v>256</v>
      </c>
      <c r="E540" s="602"/>
      <c r="F540" s="603">
        <v>180</v>
      </c>
      <c r="G540" s="604">
        <v>1.06</v>
      </c>
      <c r="H540" s="608">
        <v>5.42</v>
      </c>
      <c r="I540" s="675">
        <v>0</v>
      </c>
      <c r="J540" s="675"/>
      <c r="K540" s="606">
        <f t="shared" si="160"/>
        <v>0</v>
      </c>
      <c r="L540" s="716" t="s">
        <v>777</v>
      </c>
      <c r="M540" s="429"/>
      <c r="N540" s="430"/>
      <c r="O540" s="287">
        <f t="shared" si="161"/>
        <v>0</v>
      </c>
      <c r="P540" s="287">
        <f t="shared" si="162"/>
        <v>0</v>
      </c>
      <c r="Q540" s="288"/>
      <c r="R540" s="315" t="str">
        <f>IF(P538&gt;0,"xy","")</f>
        <v>xy</v>
      </c>
      <c r="S540" s="385" t="str">
        <f t="shared" si="151"/>
        <v>x</v>
      </c>
    </row>
    <row r="541" spans="2:20">
      <c r="B541" s="609" t="s">
        <v>168</v>
      </c>
      <c r="C541" s="610"/>
      <c r="D541" s="648" t="s">
        <v>260</v>
      </c>
      <c r="E541" s="602"/>
      <c r="F541" s="603">
        <v>20</v>
      </c>
      <c r="G541" s="604">
        <v>1.1100000000000001</v>
      </c>
      <c r="H541" s="608">
        <v>1.39</v>
      </c>
      <c r="I541" s="675">
        <v>0</v>
      </c>
      <c r="J541" s="675"/>
      <c r="K541" s="606">
        <f t="shared" si="160"/>
        <v>0</v>
      </c>
      <c r="L541" s="716" t="s">
        <v>777</v>
      </c>
      <c r="M541" s="429"/>
      <c r="N541" s="430"/>
      <c r="O541" s="287">
        <f t="shared" si="161"/>
        <v>0</v>
      </c>
      <c r="P541" s="287">
        <f t="shared" si="162"/>
        <v>0</v>
      </c>
      <c r="Q541" s="288"/>
      <c r="R541" s="315" t="str">
        <f>IF(P538&gt;0,"xy","")</f>
        <v>xy</v>
      </c>
      <c r="S541" s="385" t="str">
        <f t="shared" si="151"/>
        <v>x</v>
      </c>
    </row>
    <row r="542" spans="2:20" hidden="1">
      <c r="B542" s="609" t="s">
        <v>1926</v>
      </c>
      <c r="C542" s="610" t="s">
        <v>212</v>
      </c>
      <c r="D542" s="611" t="s">
        <v>1922</v>
      </c>
      <c r="E542" s="602"/>
      <c r="F542" s="603">
        <v>20</v>
      </c>
      <c r="G542" s="604">
        <v>1.73</v>
      </c>
      <c r="H542" s="608">
        <f t="shared" ref="H542:H544" si="166">IF(F542&lt;=30,(0.7*F542+1.45)*G542,((0.7*30+1.45)+0.58*(F542-30))*G542)</f>
        <v>26.728499999999997</v>
      </c>
      <c r="I542" s="675">
        <v>48.71</v>
      </c>
      <c r="J542" s="675">
        <f t="shared" ref="J542:J549" si="167">IF(ISBLANK(I542),"",SUM(H542:I542))</f>
        <v>75.438500000000005</v>
      </c>
      <c r="K542" s="606">
        <f t="shared" si="160"/>
        <v>91.54</v>
      </c>
      <c r="L542" s="607" t="s">
        <v>16</v>
      </c>
      <c r="M542" s="30"/>
      <c r="N542" s="30"/>
      <c r="O542" s="287">
        <f t="shared" si="161"/>
        <v>0</v>
      </c>
      <c r="P542" s="287">
        <f t="shared" si="162"/>
        <v>0</v>
      </c>
      <c r="Q542" s="288"/>
      <c r="R542" s="243"/>
      <c r="S542" s="385" t="str">
        <f t="shared" si="151"/>
        <v/>
      </c>
    </row>
    <row r="543" spans="2:20" hidden="1">
      <c r="B543" s="609" t="s">
        <v>1917</v>
      </c>
      <c r="C543" s="610" t="s">
        <v>212</v>
      </c>
      <c r="D543" s="611" t="s">
        <v>1923</v>
      </c>
      <c r="E543" s="602"/>
      <c r="F543" s="603">
        <v>20</v>
      </c>
      <c r="G543" s="604">
        <v>1.7250000000000001</v>
      </c>
      <c r="H543" s="608">
        <f t="shared" si="166"/>
        <v>26.651250000000001</v>
      </c>
      <c r="I543" s="675">
        <v>64.550000000000011</v>
      </c>
      <c r="J543" s="675">
        <f t="shared" ref="J543:J544" si="168">IF(ISBLANK(I543),"",SUM(H543:I543))</f>
        <v>91.201250000000016</v>
      </c>
      <c r="K543" s="606">
        <f t="shared" si="160"/>
        <v>110.67</v>
      </c>
      <c r="L543" s="607" t="s">
        <v>16</v>
      </c>
      <c r="M543" s="30"/>
      <c r="N543" s="30"/>
      <c r="O543" s="287">
        <f t="shared" si="161"/>
        <v>0</v>
      </c>
      <c r="P543" s="287">
        <f t="shared" si="162"/>
        <v>0</v>
      </c>
      <c r="Q543" s="288"/>
      <c r="R543" s="243"/>
      <c r="S543" s="385" t="str">
        <f t="shared" si="151"/>
        <v/>
      </c>
    </row>
    <row r="544" spans="2:20" hidden="1">
      <c r="B544" s="609" t="s">
        <v>1798</v>
      </c>
      <c r="C544" s="610" t="s">
        <v>212</v>
      </c>
      <c r="D544" s="611" t="s">
        <v>1924</v>
      </c>
      <c r="E544" s="602"/>
      <c r="F544" s="639">
        <v>15</v>
      </c>
      <c r="G544" s="604">
        <f>ROUND(1.5*1.5,4)</f>
        <v>2.25</v>
      </c>
      <c r="H544" s="608">
        <f t="shared" si="166"/>
        <v>26.887499999999999</v>
      </c>
      <c r="I544" s="675">
        <v>12.666666666666668</v>
      </c>
      <c r="J544" s="675">
        <f t="shared" si="168"/>
        <v>39.554166666666667</v>
      </c>
      <c r="K544" s="606">
        <f t="shared" si="160"/>
        <v>48</v>
      </c>
      <c r="L544" s="607" t="s">
        <v>16</v>
      </c>
      <c r="M544" s="30"/>
      <c r="N544" s="30"/>
      <c r="O544" s="287">
        <f t="shared" si="161"/>
        <v>0</v>
      </c>
      <c r="P544" s="287">
        <f t="shared" si="162"/>
        <v>0</v>
      </c>
      <c r="Q544" s="288"/>
      <c r="R544" s="243"/>
      <c r="S544" s="385" t="str">
        <f t="shared" si="151"/>
        <v/>
      </c>
    </row>
    <row r="545" spans="2:19" hidden="1">
      <c r="B545" s="609" t="s">
        <v>1927</v>
      </c>
      <c r="C545" s="610" t="s">
        <v>212</v>
      </c>
      <c r="D545" s="611" t="s">
        <v>1925</v>
      </c>
      <c r="E545" s="602"/>
      <c r="F545" s="603">
        <v>20</v>
      </c>
      <c r="G545" s="604">
        <v>1.5</v>
      </c>
      <c r="H545" s="605">
        <f t="shared" ref="H545" si="169">IF(F545=0,0,IF(F545&lt;=30,(0.7*F545+1.45)*G545,((0.7*30+1.45)+0.58*(F545-30))*G545))</f>
        <v>23.174999999999997</v>
      </c>
      <c r="I545" s="686">
        <v>107.99</v>
      </c>
      <c r="J545" s="675">
        <f t="shared" si="167"/>
        <v>131.16499999999999</v>
      </c>
      <c r="K545" s="606">
        <f t="shared" si="160"/>
        <v>159.16999999999999</v>
      </c>
      <c r="L545" s="607" t="s">
        <v>16</v>
      </c>
      <c r="M545" s="30"/>
      <c r="N545" s="30"/>
      <c r="O545" s="287">
        <f t="shared" si="161"/>
        <v>0</v>
      </c>
      <c r="P545" s="287">
        <f t="shared" si="162"/>
        <v>0</v>
      </c>
      <c r="Q545" s="288"/>
      <c r="R545" s="243"/>
      <c r="S545" s="385" t="str">
        <f t="shared" si="151"/>
        <v/>
      </c>
    </row>
    <row r="546" spans="2:19" hidden="1">
      <c r="B546" s="609" t="s">
        <v>1985</v>
      </c>
      <c r="C546" s="610" t="s">
        <v>212</v>
      </c>
      <c r="D546" s="611" t="s">
        <v>287</v>
      </c>
      <c r="E546" s="602"/>
      <c r="F546" s="603"/>
      <c r="G546" s="604"/>
      <c r="H546" s="605">
        <f>IF(F546&lt;=30,(0.31*F546+0.77)*G546,((0.31*30+0.77)+0.31*(F546-30))*G546)</f>
        <v>0</v>
      </c>
      <c r="I546" s="675">
        <v>45.66</v>
      </c>
      <c r="J546" s="675">
        <f t="shared" si="167"/>
        <v>45.66</v>
      </c>
      <c r="K546" s="606">
        <f t="shared" si="160"/>
        <v>55.41</v>
      </c>
      <c r="L546" s="607" t="s">
        <v>16</v>
      </c>
      <c r="M546" s="30"/>
      <c r="N546" s="30"/>
      <c r="O546" s="287">
        <f t="shared" si="161"/>
        <v>0</v>
      </c>
      <c r="P546" s="287">
        <f t="shared" si="162"/>
        <v>0</v>
      </c>
      <c r="Q546" s="288"/>
      <c r="R546" s="243"/>
      <c r="S546" s="385" t="str">
        <f t="shared" si="151"/>
        <v/>
      </c>
    </row>
    <row r="547" spans="2:19" hidden="1">
      <c r="B547" s="609" t="s">
        <v>1987</v>
      </c>
      <c r="C547" s="610" t="s">
        <v>212</v>
      </c>
      <c r="D547" s="611" t="s">
        <v>288</v>
      </c>
      <c r="E547" s="602"/>
      <c r="F547" s="603"/>
      <c r="G547" s="604"/>
      <c r="H547" s="605">
        <f>IF(F547&lt;=30,(0.31*F547+0.77)*G547,((0.31*30+0.77)+0.31*(F547-30))*G547)</f>
        <v>0</v>
      </c>
      <c r="I547" s="675">
        <v>90.759999999999991</v>
      </c>
      <c r="J547" s="675">
        <f t="shared" si="167"/>
        <v>90.759999999999991</v>
      </c>
      <c r="K547" s="606">
        <f t="shared" si="160"/>
        <v>110.14</v>
      </c>
      <c r="L547" s="607" t="s">
        <v>18</v>
      </c>
      <c r="M547" s="30"/>
      <c r="N547" s="30"/>
      <c r="O547" s="287">
        <f t="shared" si="161"/>
        <v>0</v>
      </c>
      <c r="P547" s="287">
        <f t="shared" si="162"/>
        <v>0</v>
      </c>
      <c r="Q547" s="288"/>
      <c r="R547" s="243"/>
      <c r="S547" s="385" t="str">
        <f t="shared" si="151"/>
        <v/>
      </c>
    </row>
    <row r="548" spans="2:19" hidden="1">
      <c r="B548" s="609" t="s">
        <v>1990</v>
      </c>
      <c r="C548" s="610" t="s">
        <v>212</v>
      </c>
      <c r="D548" s="611" t="s">
        <v>289</v>
      </c>
      <c r="E548" s="602"/>
      <c r="F548" s="603"/>
      <c r="G548" s="604"/>
      <c r="H548" s="605">
        <f>IF(F548&lt;=30,(0.31*F548+0.77)*G548,((0.31*30+0.77)+0.31*(F548-30))*G548)</f>
        <v>0</v>
      </c>
      <c r="I548" s="675">
        <v>18.079999999999998</v>
      </c>
      <c r="J548" s="675">
        <f t="shared" si="167"/>
        <v>18.079999999999998</v>
      </c>
      <c r="K548" s="606">
        <f t="shared" si="160"/>
        <v>21.94</v>
      </c>
      <c r="L548" s="607" t="s">
        <v>23</v>
      </c>
      <c r="M548" s="30"/>
      <c r="N548" s="30"/>
      <c r="O548" s="287">
        <f t="shared" si="161"/>
        <v>0</v>
      </c>
      <c r="P548" s="287">
        <f t="shared" si="162"/>
        <v>0</v>
      </c>
      <c r="Q548" s="288"/>
      <c r="R548" s="243"/>
      <c r="S548" s="385" t="str">
        <f t="shared" si="151"/>
        <v/>
      </c>
    </row>
    <row r="549" spans="2:19" hidden="1">
      <c r="B549" s="609" t="s">
        <v>1993</v>
      </c>
      <c r="C549" s="610" t="s">
        <v>212</v>
      </c>
      <c r="D549" s="611" t="s">
        <v>290</v>
      </c>
      <c r="E549" s="602"/>
      <c r="F549" s="603"/>
      <c r="G549" s="604"/>
      <c r="H549" s="605">
        <f>IF(F549&lt;=30,(0.31*F549+0.77)*G549,((0.31*30+0.77)+0.31*(F549-30))*G549)</f>
        <v>0</v>
      </c>
      <c r="I549" s="675">
        <v>19.34</v>
      </c>
      <c r="J549" s="675">
        <f t="shared" si="167"/>
        <v>19.34</v>
      </c>
      <c r="K549" s="606">
        <f t="shared" si="160"/>
        <v>23.47</v>
      </c>
      <c r="L549" s="607" t="s">
        <v>23</v>
      </c>
      <c r="M549" s="30"/>
      <c r="N549" s="30"/>
      <c r="O549" s="287">
        <f t="shared" si="161"/>
        <v>0</v>
      </c>
      <c r="P549" s="287">
        <f t="shared" si="162"/>
        <v>0</v>
      </c>
      <c r="Q549" s="288"/>
      <c r="R549" s="243"/>
      <c r="S549" s="385" t="str">
        <f t="shared" si="151"/>
        <v/>
      </c>
    </row>
    <row r="550" spans="2:19" hidden="1">
      <c r="B550" s="609" t="s">
        <v>327</v>
      </c>
      <c r="C550" s="610" t="s">
        <v>212</v>
      </c>
      <c r="D550" s="611" t="s">
        <v>291</v>
      </c>
      <c r="E550" s="602"/>
      <c r="F550" s="603"/>
      <c r="G550" s="604"/>
      <c r="H550" s="605">
        <f>SUM(H551:H553)*0.05</f>
        <v>0.45201525000000004</v>
      </c>
      <c r="I550" s="675">
        <v>23.207000000000001</v>
      </c>
      <c r="J550" s="675">
        <f t="shared" ref="J550:J553" si="170">IF(ISBLANK(I550),"",SUM(H550:I550))</f>
        <v>23.659015249999999</v>
      </c>
      <c r="K550" s="606">
        <f t="shared" si="160"/>
        <v>28.71</v>
      </c>
      <c r="L550" s="607" t="s">
        <v>18</v>
      </c>
      <c r="M550" s="30"/>
      <c r="N550" s="30"/>
      <c r="O550" s="287">
        <f t="shared" si="161"/>
        <v>0</v>
      </c>
      <c r="P550" s="287">
        <f t="shared" si="162"/>
        <v>0</v>
      </c>
      <c r="Q550" s="288"/>
      <c r="R550" s="243"/>
      <c r="S550" s="385" t="str">
        <f t="shared" si="151"/>
        <v/>
      </c>
    </row>
    <row r="551" spans="2:19" hidden="1">
      <c r="B551" s="609" t="s">
        <v>168</v>
      </c>
      <c r="C551" s="610"/>
      <c r="D551" s="648" t="s">
        <v>218</v>
      </c>
      <c r="E551" s="602"/>
      <c r="F551" s="603">
        <v>500</v>
      </c>
      <c r="G551" s="604">
        <f>ROUND(0.27*0.05,4)</f>
        <v>1.35E-2</v>
      </c>
      <c r="H551" s="605">
        <f>IF(F551&lt;=30,(0.51*F551+4.28)*G551,((0.51*30+4.28)+0.42*(F551-30))*G551)</f>
        <v>2.92923</v>
      </c>
      <c r="I551" s="675"/>
      <c r="J551" s="675" t="str">
        <f t="shared" si="170"/>
        <v/>
      </c>
      <c r="K551" s="606">
        <f t="shared" si="160"/>
        <v>0</v>
      </c>
      <c r="L551" s="716" t="s">
        <v>777</v>
      </c>
      <c r="M551" s="429"/>
      <c r="N551" s="430"/>
      <c r="O551" s="287">
        <f t="shared" si="161"/>
        <v>0</v>
      </c>
      <c r="P551" s="287">
        <f t="shared" si="162"/>
        <v>0</v>
      </c>
      <c r="Q551" s="288"/>
      <c r="R551" s="315" t="str">
        <f>IF(P550&gt;0,"xy","")</f>
        <v/>
      </c>
      <c r="S551" s="385" t="str">
        <f t="shared" si="151"/>
        <v/>
      </c>
    </row>
    <row r="552" spans="2:19" hidden="1">
      <c r="B552" s="609" t="s">
        <v>168</v>
      </c>
      <c r="C552" s="610"/>
      <c r="D552" s="648" t="s">
        <v>256</v>
      </c>
      <c r="E552" s="602"/>
      <c r="F552" s="603">
        <v>180</v>
      </c>
      <c r="G552" s="604">
        <f>ROUND(0.96*0.05,4)</f>
        <v>4.8000000000000001E-2</v>
      </c>
      <c r="H552" s="608">
        <f t="shared" ref="H552:H553" si="171">IF(F552&lt;=30,(0.7*F552+1.45)*G552,((0.7*30+1.45)+0.58*(F552-30))*G552)</f>
        <v>5.2536000000000005</v>
      </c>
      <c r="I552" s="675"/>
      <c r="J552" s="675" t="str">
        <f t="shared" si="170"/>
        <v/>
      </c>
      <c r="K552" s="606">
        <f t="shared" si="160"/>
        <v>0</v>
      </c>
      <c r="L552" s="716" t="s">
        <v>777</v>
      </c>
      <c r="M552" s="429"/>
      <c r="N552" s="430"/>
      <c r="O552" s="287">
        <f t="shared" si="161"/>
        <v>0</v>
      </c>
      <c r="P552" s="287">
        <f t="shared" si="162"/>
        <v>0</v>
      </c>
      <c r="Q552" s="288"/>
      <c r="R552" s="315" t="str">
        <f>IF(P550&gt;0,"xy","")</f>
        <v/>
      </c>
      <c r="S552" s="385" t="str">
        <f t="shared" si="151"/>
        <v/>
      </c>
    </row>
    <row r="553" spans="2:19" hidden="1">
      <c r="B553" s="609" t="s">
        <v>168</v>
      </c>
      <c r="C553" s="610"/>
      <c r="D553" s="648" t="s">
        <v>260</v>
      </c>
      <c r="E553" s="602"/>
      <c r="F553" s="603">
        <v>20</v>
      </c>
      <c r="G553" s="604">
        <f>ROUND(1.11*0.05,4)</f>
        <v>5.5500000000000001E-2</v>
      </c>
      <c r="H553" s="608">
        <f t="shared" si="171"/>
        <v>0.85747499999999999</v>
      </c>
      <c r="I553" s="675"/>
      <c r="J553" s="675" t="str">
        <f t="shared" si="170"/>
        <v/>
      </c>
      <c r="K553" s="606">
        <f t="shared" si="160"/>
        <v>0</v>
      </c>
      <c r="L553" s="716" t="s">
        <v>777</v>
      </c>
      <c r="M553" s="429"/>
      <c r="N553" s="430"/>
      <c r="O553" s="287">
        <f t="shared" si="161"/>
        <v>0</v>
      </c>
      <c r="P553" s="287">
        <f t="shared" si="162"/>
        <v>0</v>
      </c>
      <c r="Q553" s="288"/>
      <c r="R553" s="315" t="str">
        <f>IF(P550&gt;0,"xy","")</f>
        <v/>
      </c>
      <c r="S553" s="385" t="str">
        <f t="shared" si="151"/>
        <v/>
      </c>
    </row>
    <row r="554" spans="2:19" hidden="1">
      <c r="B554" s="609" t="s">
        <v>328</v>
      </c>
      <c r="C554" s="610" t="s">
        <v>212</v>
      </c>
      <c r="D554" s="611" t="s">
        <v>787</v>
      </c>
      <c r="E554" s="602"/>
      <c r="F554" s="603"/>
      <c r="G554" s="604"/>
      <c r="H554" s="605">
        <f>SUM(H555:H557)*0.06</f>
        <v>0.65090195999999989</v>
      </c>
      <c r="I554" s="675">
        <v>27.518399999999996</v>
      </c>
      <c r="J554" s="675">
        <f t="shared" ref="J554:J562" si="172">IF(ISBLANK(I554),"",SUM(H554:I554))</f>
        <v>28.169301959999995</v>
      </c>
      <c r="K554" s="606">
        <f t="shared" si="160"/>
        <v>34.18</v>
      </c>
      <c r="L554" s="607" t="s">
        <v>18</v>
      </c>
      <c r="M554" s="30"/>
      <c r="N554" s="30"/>
      <c r="O554" s="287">
        <f t="shared" si="161"/>
        <v>0</v>
      </c>
      <c r="P554" s="287">
        <f t="shared" si="162"/>
        <v>0</v>
      </c>
      <c r="Q554" s="288"/>
      <c r="R554" s="243"/>
      <c r="S554" s="385" t="str">
        <f t="shared" si="151"/>
        <v/>
      </c>
    </row>
    <row r="555" spans="2:19" hidden="1">
      <c r="B555" s="609" t="s">
        <v>168</v>
      </c>
      <c r="C555" s="610"/>
      <c r="D555" s="648" t="s">
        <v>218</v>
      </c>
      <c r="E555" s="602"/>
      <c r="F555" s="603">
        <v>500</v>
      </c>
      <c r="G555" s="604">
        <f>ROUND(0.27*0.06,4)</f>
        <v>1.6199999999999999E-2</v>
      </c>
      <c r="H555" s="605">
        <f>IF(F555&lt;=30,(0.51*F555+4.28)*G555,((0.51*30+4.28)+0.42*(F555-30))*G555)</f>
        <v>3.5150760000000001</v>
      </c>
      <c r="I555" s="675"/>
      <c r="J555" s="675" t="str">
        <f t="shared" si="172"/>
        <v/>
      </c>
      <c r="K555" s="606">
        <f t="shared" si="160"/>
        <v>0</v>
      </c>
      <c r="L555" s="716" t="s">
        <v>777</v>
      </c>
      <c r="M555" s="429"/>
      <c r="N555" s="430"/>
      <c r="O555" s="287">
        <f t="shared" si="161"/>
        <v>0</v>
      </c>
      <c r="P555" s="287">
        <f t="shared" si="162"/>
        <v>0</v>
      </c>
      <c r="Q555" s="288"/>
      <c r="R555" s="315" t="str">
        <f>IF(P554&gt;0,"xy","")</f>
        <v/>
      </c>
      <c r="S555" s="385" t="str">
        <f t="shared" si="151"/>
        <v/>
      </c>
    </row>
    <row r="556" spans="2:19" hidden="1">
      <c r="B556" s="609" t="s">
        <v>168</v>
      </c>
      <c r="C556" s="610"/>
      <c r="D556" s="648" t="s">
        <v>256</v>
      </c>
      <c r="E556" s="602"/>
      <c r="F556" s="603">
        <v>180</v>
      </c>
      <c r="G556" s="604">
        <f>ROUND(0.96*0.06,4)</f>
        <v>5.7599999999999998E-2</v>
      </c>
      <c r="H556" s="608">
        <f t="shared" ref="H556:H557" si="173">IF(F556&lt;=30,(0.7*F556+1.45)*G556,((0.7*30+1.45)+0.58*(F556-30))*G556)</f>
        <v>6.3043199999999997</v>
      </c>
      <c r="I556" s="675"/>
      <c r="J556" s="675" t="str">
        <f t="shared" si="172"/>
        <v/>
      </c>
      <c r="K556" s="606">
        <f t="shared" si="160"/>
        <v>0</v>
      </c>
      <c r="L556" s="716" t="s">
        <v>777</v>
      </c>
      <c r="M556" s="429"/>
      <c r="N556" s="430"/>
      <c r="O556" s="287">
        <f t="shared" si="161"/>
        <v>0</v>
      </c>
      <c r="P556" s="287">
        <f t="shared" si="162"/>
        <v>0</v>
      </c>
      <c r="Q556" s="288"/>
      <c r="R556" s="315" t="str">
        <f>IF(P554&gt;0,"xy","")</f>
        <v/>
      </c>
      <c r="S556" s="385" t="str">
        <f t="shared" si="151"/>
        <v/>
      </c>
    </row>
    <row r="557" spans="2:19" hidden="1">
      <c r="B557" s="609" t="s">
        <v>168</v>
      </c>
      <c r="C557" s="610"/>
      <c r="D557" s="648" t="s">
        <v>260</v>
      </c>
      <c r="E557" s="602"/>
      <c r="F557" s="603">
        <v>20</v>
      </c>
      <c r="G557" s="604">
        <f>ROUND(1.11*0.06,4)</f>
        <v>6.6600000000000006E-2</v>
      </c>
      <c r="H557" s="608">
        <f t="shared" si="173"/>
        <v>1.0289700000000002</v>
      </c>
      <c r="I557" s="675"/>
      <c r="J557" s="675" t="str">
        <f t="shared" si="172"/>
        <v/>
      </c>
      <c r="K557" s="606">
        <f t="shared" si="160"/>
        <v>0</v>
      </c>
      <c r="L557" s="716" t="s">
        <v>777</v>
      </c>
      <c r="M557" s="429"/>
      <c r="N557" s="430"/>
      <c r="O557" s="287">
        <f t="shared" si="161"/>
        <v>0</v>
      </c>
      <c r="P557" s="287">
        <f t="shared" si="162"/>
        <v>0</v>
      </c>
      <c r="Q557" s="288"/>
      <c r="R557" s="315" t="str">
        <f>IF(P554&gt;0,"xy","")</f>
        <v/>
      </c>
      <c r="S557" s="385" t="str">
        <f t="shared" si="151"/>
        <v/>
      </c>
    </row>
    <row r="558" spans="2:19" hidden="1">
      <c r="B558" s="609" t="s">
        <v>329</v>
      </c>
      <c r="C558" s="610" t="s">
        <v>212</v>
      </c>
      <c r="D558" s="611" t="s">
        <v>788</v>
      </c>
      <c r="E558" s="602"/>
      <c r="F558" s="603"/>
      <c r="G558" s="604"/>
      <c r="H558" s="605">
        <f>SUM(H559:H561)*0.07</f>
        <v>0.88594989000000002</v>
      </c>
      <c r="I558" s="675">
        <v>31.829800000000002</v>
      </c>
      <c r="J558" s="675">
        <f t="shared" si="172"/>
        <v>32.715749890000005</v>
      </c>
      <c r="K558" s="606">
        <f t="shared" si="160"/>
        <v>39.700000000000003</v>
      </c>
      <c r="L558" s="607" t="s">
        <v>18</v>
      </c>
      <c r="M558" s="30"/>
      <c r="N558" s="30"/>
      <c r="O558" s="287">
        <f t="shared" si="161"/>
        <v>0</v>
      </c>
      <c r="P558" s="287">
        <f t="shared" si="162"/>
        <v>0</v>
      </c>
      <c r="Q558" s="288"/>
      <c r="R558" s="243"/>
      <c r="S558" s="385" t="str">
        <f t="shared" si="151"/>
        <v/>
      </c>
    </row>
    <row r="559" spans="2:19" hidden="1">
      <c r="B559" s="609" t="s">
        <v>168</v>
      </c>
      <c r="C559" s="610"/>
      <c r="D559" s="648" t="s">
        <v>218</v>
      </c>
      <c r="E559" s="602"/>
      <c r="F559" s="603">
        <v>500</v>
      </c>
      <c r="G559" s="604">
        <f>ROUND(0.27*0.07,4)</f>
        <v>1.89E-2</v>
      </c>
      <c r="H559" s="605">
        <f>IF(F559&lt;=30,(0.51*F559+4.28)*G559,((0.51*30+4.28)+0.42*(F559-30))*G559)</f>
        <v>4.1009220000000006</v>
      </c>
      <c r="I559" s="675"/>
      <c r="J559" s="675" t="str">
        <f t="shared" si="172"/>
        <v/>
      </c>
      <c r="K559" s="606">
        <f t="shared" si="160"/>
        <v>0</v>
      </c>
      <c r="L559" s="716" t="s">
        <v>777</v>
      </c>
      <c r="M559" s="429"/>
      <c r="N559" s="430"/>
      <c r="O559" s="287">
        <f t="shared" si="161"/>
        <v>0</v>
      </c>
      <c r="P559" s="287">
        <f t="shared" si="162"/>
        <v>0</v>
      </c>
      <c r="Q559" s="288"/>
      <c r="R559" s="315" t="str">
        <f>IF(P558&gt;0,"xy","")</f>
        <v/>
      </c>
      <c r="S559" s="385" t="str">
        <f t="shared" si="151"/>
        <v/>
      </c>
    </row>
    <row r="560" spans="2:19" hidden="1">
      <c r="B560" s="609" t="s">
        <v>168</v>
      </c>
      <c r="C560" s="610"/>
      <c r="D560" s="648" t="s">
        <v>256</v>
      </c>
      <c r="E560" s="602"/>
      <c r="F560" s="603">
        <v>180</v>
      </c>
      <c r="G560" s="604">
        <f>ROUND(0.96*0.07,4)</f>
        <v>6.7199999999999996E-2</v>
      </c>
      <c r="H560" s="608">
        <f t="shared" ref="H560:H561" si="174">IF(F560&lt;=30,(0.7*F560+1.45)*G560,((0.7*30+1.45)+0.58*(F560-30))*G560)</f>
        <v>7.3550399999999998</v>
      </c>
      <c r="I560" s="675"/>
      <c r="J560" s="675" t="str">
        <f t="shared" si="172"/>
        <v/>
      </c>
      <c r="K560" s="606">
        <f t="shared" si="160"/>
        <v>0</v>
      </c>
      <c r="L560" s="716" t="s">
        <v>777</v>
      </c>
      <c r="M560" s="429"/>
      <c r="N560" s="430"/>
      <c r="O560" s="287">
        <f t="shared" si="161"/>
        <v>0</v>
      </c>
      <c r="P560" s="287">
        <f t="shared" si="162"/>
        <v>0</v>
      </c>
      <c r="Q560" s="288"/>
      <c r="R560" s="315" t="str">
        <f>IF(P558&gt;0,"xy","")</f>
        <v/>
      </c>
      <c r="S560" s="385" t="str">
        <f t="shared" ref="S560:S635" si="175">IF(R560="x","x",IF(R560="y","x",IF(R560="xy","x",IF(P560&gt;0,"x",""))))</f>
        <v/>
      </c>
    </row>
    <row r="561" spans="2:19" hidden="1">
      <c r="B561" s="609" t="s">
        <v>168</v>
      </c>
      <c r="C561" s="610"/>
      <c r="D561" s="648" t="s">
        <v>260</v>
      </c>
      <c r="E561" s="602"/>
      <c r="F561" s="603">
        <v>20</v>
      </c>
      <c r="G561" s="604">
        <f>ROUND(1.11*0.07,4)</f>
        <v>7.7700000000000005E-2</v>
      </c>
      <c r="H561" s="608">
        <f t="shared" si="174"/>
        <v>1.2004650000000001</v>
      </c>
      <c r="I561" s="675"/>
      <c r="J561" s="675" t="str">
        <f t="shared" si="172"/>
        <v/>
      </c>
      <c r="K561" s="606">
        <f t="shared" si="160"/>
        <v>0</v>
      </c>
      <c r="L561" s="716" t="s">
        <v>777</v>
      </c>
      <c r="M561" s="429"/>
      <c r="N561" s="430"/>
      <c r="O561" s="287">
        <f t="shared" si="161"/>
        <v>0</v>
      </c>
      <c r="P561" s="287">
        <f t="shared" si="162"/>
        <v>0</v>
      </c>
      <c r="Q561" s="288"/>
      <c r="R561" s="315" t="str">
        <f>IF(P558&gt;0,"xy","")</f>
        <v/>
      </c>
      <c r="S561" s="385" t="str">
        <f t="shared" si="175"/>
        <v/>
      </c>
    </row>
    <row r="562" spans="2:19" hidden="1">
      <c r="B562" s="609" t="s">
        <v>1996</v>
      </c>
      <c r="C562" s="610" t="s">
        <v>212</v>
      </c>
      <c r="D562" s="611" t="s">
        <v>797</v>
      </c>
      <c r="E562" s="602"/>
      <c r="F562" s="603"/>
      <c r="G562" s="604"/>
      <c r="H562" s="605">
        <f>SUM(H563:H565)*0.08</f>
        <v>1.15715904</v>
      </c>
      <c r="I562" s="675">
        <v>36.141199999999998</v>
      </c>
      <c r="J562" s="675">
        <f t="shared" si="172"/>
        <v>37.298359040000001</v>
      </c>
      <c r="K562" s="606">
        <f t="shared" si="160"/>
        <v>45.26</v>
      </c>
      <c r="L562" s="607" t="s">
        <v>18</v>
      </c>
      <c r="M562" s="30"/>
      <c r="N562" s="30"/>
      <c r="O562" s="287">
        <f t="shared" si="161"/>
        <v>0</v>
      </c>
      <c r="P562" s="287">
        <f t="shared" si="162"/>
        <v>0</v>
      </c>
      <c r="Q562" s="288"/>
      <c r="R562" s="243"/>
      <c r="S562" s="385" t="str">
        <f t="shared" si="175"/>
        <v/>
      </c>
    </row>
    <row r="563" spans="2:19" hidden="1">
      <c r="B563" s="609" t="s">
        <v>168</v>
      </c>
      <c r="C563" s="610"/>
      <c r="D563" s="648" t="s">
        <v>218</v>
      </c>
      <c r="E563" s="602"/>
      <c r="F563" s="603">
        <v>500</v>
      </c>
      <c r="G563" s="604">
        <f>ROUND(0.27*0.08,4)</f>
        <v>2.1600000000000001E-2</v>
      </c>
      <c r="H563" s="605">
        <f>IF(F563&lt;=30,(0.51*F563+4.28)*G563,((0.51*30+4.28)+0.42*(F563-30))*G563)</f>
        <v>4.6867680000000007</v>
      </c>
      <c r="I563" s="675">
        <v>0</v>
      </c>
      <c r="J563" s="675"/>
      <c r="K563" s="606">
        <f t="shared" si="160"/>
        <v>0</v>
      </c>
      <c r="L563" s="716" t="s">
        <v>777</v>
      </c>
      <c r="M563" s="429"/>
      <c r="N563" s="430"/>
      <c r="O563" s="287">
        <f t="shared" si="161"/>
        <v>0</v>
      </c>
      <c r="P563" s="287">
        <f t="shared" si="162"/>
        <v>0</v>
      </c>
      <c r="Q563" s="288"/>
      <c r="R563" s="315" t="str">
        <f>IF(P562&gt;0,"xy","")</f>
        <v/>
      </c>
      <c r="S563" s="385" t="str">
        <f t="shared" si="175"/>
        <v/>
      </c>
    </row>
    <row r="564" spans="2:19" hidden="1">
      <c r="B564" s="609" t="s">
        <v>168</v>
      </c>
      <c r="C564" s="610"/>
      <c r="D564" s="648" t="s">
        <v>256</v>
      </c>
      <c r="E564" s="602"/>
      <c r="F564" s="603">
        <v>180</v>
      </c>
      <c r="G564" s="604">
        <f>ROUND(0.96*0.08,4)</f>
        <v>7.6799999999999993E-2</v>
      </c>
      <c r="H564" s="608">
        <f t="shared" ref="H564:H565" si="176">IF(F564&lt;=30,(0.7*F564+1.45)*G564,((0.7*30+1.45)+0.58*(F564-30))*G564)</f>
        <v>8.405759999999999</v>
      </c>
      <c r="I564" s="675">
        <v>0</v>
      </c>
      <c r="J564" s="675"/>
      <c r="K564" s="606">
        <f t="shared" si="160"/>
        <v>0</v>
      </c>
      <c r="L564" s="716" t="s">
        <v>777</v>
      </c>
      <c r="M564" s="429"/>
      <c r="N564" s="430"/>
      <c r="O564" s="287">
        <f t="shared" si="161"/>
        <v>0</v>
      </c>
      <c r="P564" s="287">
        <f t="shared" si="162"/>
        <v>0</v>
      </c>
      <c r="Q564" s="288"/>
      <c r="R564" s="315" t="str">
        <f>IF(P562&gt;0,"xy","")</f>
        <v/>
      </c>
      <c r="S564" s="385" t="str">
        <f t="shared" si="175"/>
        <v/>
      </c>
    </row>
    <row r="565" spans="2:19" hidden="1">
      <c r="B565" s="609" t="s">
        <v>168</v>
      </c>
      <c r="C565" s="610"/>
      <c r="D565" s="648" t="s">
        <v>260</v>
      </c>
      <c r="E565" s="602"/>
      <c r="F565" s="603">
        <v>20</v>
      </c>
      <c r="G565" s="604">
        <f>ROUND(1.11*0.08,4)</f>
        <v>8.8800000000000004E-2</v>
      </c>
      <c r="H565" s="608">
        <f t="shared" si="176"/>
        <v>1.3719600000000001</v>
      </c>
      <c r="I565" s="675">
        <v>0</v>
      </c>
      <c r="J565" s="675"/>
      <c r="K565" s="606">
        <f t="shared" si="160"/>
        <v>0</v>
      </c>
      <c r="L565" s="716" t="s">
        <v>777</v>
      </c>
      <c r="M565" s="429"/>
      <c r="N565" s="430"/>
      <c r="O565" s="287">
        <f t="shared" si="161"/>
        <v>0</v>
      </c>
      <c r="P565" s="287">
        <f t="shared" si="162"/>
        <v>0</v>
      </c>
      <c r="Q565" s="288"/>
      <c r="R565" s="315" t="str">
        <f>IF(P562&gt;0,"xy","")</f>
        <v/>
      </c>
      <c r="S565" s="385" t="str">
        <f t="shared" si="175"/>
        <v/>
      </c>
    </row>
    <row r="566" spans="2:19" hidden="1">
      <c r="B566" s="609" t="s">
        <v>1789</v>
      </c>
      <c r="C566" s="610" t="s">
        <v>212</v>
      </c>
      <c r="D566" s="611" t="s">
        <v>296</v>
      </c>
      <c r="E566" s="602"/>
      <c r="F566" s="603">
        <v>0</v>
      </c>
      <c r="G566" s="604"/>
      <c r="H566" s="605">
        <v>0</v>
      </c>
      <c r="I566" s="675">
        <v>3.38</v>
      </c>
      <c r="J566" s="675">
        <f t="shared" ref="J566:J567" si="177">IF(ISBLANK(I566),"",SUM(H566:I566))</f>
        <v>3.38</v>
      </c>
      <c r="K566" s="606">
        <f t="shared" si="160"/>
        <v>4.0999999999999996</v>
      </c>
      <c r="L566" s="607" t="s">
        <v>18</v>
      </c>
      <c r="M566" s="30"/>
      <c r="N566" s="30"/>
      <c r="O566" s="287">
        <f t="shared" si="161"/>
        <v>0</v>
      </c>
      <c r="P566" s="287">
        <f t="shared" si="162"/>
        <v>0</v>
      </c>
      <c r="Q566" s="288"/>
      <c r="R566" s="243"/>
      <c r="S566" s="385" t="str">
        <f t="shared" si="175"/>
        <v/>
      </c>
    </row>
    <row r="567" spans="2:19" hidden="1">
      <c r="B567" s="609" t="s">
        <v>1801</v>
      </c>
      <c r="C567" s="610" t="s">
        <v>212</v>
      </c>
      <c r="D567" s="611" t="s">
        <v>297</v>
      </c>
      <c r="E567" s="602"/>
      <c r="F567" s="603">
        <v>0</v>
      </c>
      <c r="G567" s="604">
        <v>0</v>
      </c>
      <c r="H567" s="605">
        <v>0</v>
      </c>
      <c r="I567" s="675">
        <v>2.81</v>
      </c>
      <c r="J567" s="675">
        <f t="shared" si="177"/>
        <v>2.81</v>
      </c>
      <c r="K567" s="606">
        <f t="shared" si="160"/>
        <v>3.41</v>
      </c>
      <c r="L567" s="607" t="s">
        <v>18</v>
      </c>
      <c r="M567" s="30"/>
      <c r="N567" s="30"/>
      <c r="O567" s="287">
        <f t="shared" si="161"/>
        <v>0</v>
      </c>
      <c r="P567" s="287">
        <f t="shared" si="162"/>
        <v>0</v>
      </c>
      <c r="Q567" s="288"/>
      <c r="R567" s="243"/>
      <c r="S567" s="385" t="str">
        <f t="shared" si="175"/>
        <v/>
      </c>
    </row>
    <row r="568" spans="2:19" hidden="1">
      <c r="B568" s="609" t="s">
        <v>1792</v>
      </c>
      <c r="C568" s="610" t="s">
        <v>212</v>
      </c>
      <c r="D568" s="611" t="s">
        <v>298</v>
      </c>
      <c r="E568" s="602"/>
      <c r="F568" s="639">
        <v>0.5</v>
      </c>
      <c r="G568" s="673">
        <f>1.5*1.4</f>
        <v>2.0999999999999996</v>
      </c>
      <c r="H568" s="608">
        <f t="shared" ref="H568:H576" si="178">IF(F568&lt;=30,(0.7*F568+1.45)*G568,((0.7*30+1.45)+0.58*(F568-30))*G568)</f>
        <v>3.7799999999999989</v>
      </c>
      <c r="I568" s="686">
        <v>8.8219999999999992</v>
      </c>
      <c r="J568" s="675">
        <f>IF(ISBLANK(I568),"",SUM(H568:I568))</f>
        <v>12.601999999999999</v>
      </c>
      <c r="K568" s="606">
        <f t="shared" si="160"/>
        <v>15.29</v>
      </c>
      <c r="L568" s="607" t="s">
        <v>16</v>
      </c>
      <c r="M568" s="30"/>
      <c r="N568" s="30"/>
      <c r="O568" s="287">
        <f t="shared" si="161"/>
        <v>0</v>
      </c>
      <c r="P568" s="287">
        <f t="shared" si="162"/>
        <v>0</v>
      </c>
      <c r="Q568" s="288"/>
      <c r="R568" s="243"/>
      <c r="S568" s="385" t="str">
        <f t="shared" si="175"/>
        <v/>
      </c>
    </row>
    <row r="569" spans="2:19" hidden="1">
      <c r="B569" s="609" t="s">
        <v>1793</v>
      </c>
      <c r="C569" s="610" t="s">
        <v>212</v>
      </c>
      <c r="D569" s="611" t="s">
        <v>299</v>
      </c>
      <c r="E569" s="602"/>
      <c r="F569" s="639">
        <v>15</v>
      </c>
      <c r="G569" s="673">
        <f>1.5*1.4</f>
        <v>2.0999999999999996</v>
      </c>
      <c r="H569" s="608">
        <f t="shared" si="178"/>
        <v>25.094999999999995</v>
      </c>
      <c r="I569" s="686">
        <v>8.8219999999999992</v>
      </c>
      <c r="J569" s="675">
        <f>IF(ISBLANK(I569),"",SUM(H569:I569))</f>
        <v>33.916999999999994</v>
      </c>
      <c r="K569" s="606">
        <f t="shared" si="160"/>
        <v>41.16</v>
      </c>
      <c r="L569" s="607" t="s">
        <v>16</v>
      </c>
      <c r="M569" s="30"/>
      <c r="N569" s="30"/>
      <c r="O569" s="287">
        <f t="shared" si="161"/>
        <v>0</v>
      </c>
      <c r="P569" s="287">
        <f t="shared" si="162"/>
        <v>0</v>
      </c>
      <c r="Q569" s="288"/>
      <c r="R569" s="243"/>
      <c r="S569" s="385" t="str">
        <f t="shared" si="175"/>
        <v/>
      </c>
    </row>
    <row r="570" spans="2:19" hidden="1">
      <c r="B570" s="609" t="s">
        <v>1783</v>
      </c>
      <c r="C570" s="610" t="s">
        <v>212</v>
      </c>
      <c r="D570" s="611" t="s">
        <v>514</v>
      </c>
      <c r="E570" s="602"/>
      <c r="F570" s="639">
        <v>15</v>
      </c>
      <c r="G570" s="673">
        <v>1.95</v>
      </c>
      <c r="H570" s="608">
        <f t="shared" si="178"/>
        <v>23.302499999999998</v>
      </c>
      <c r="I570" s="675">
        <v>17.39</v>
      </c>
      <c r="J570" s="675">
        <f t="shared" ref="J570:J577" si="179">IF(ISBLANK(I570),"",SUM(H570:I570))</f>
        <v>40.692499999999995</v>
      </c>
      <c r="K570" s="606">
        <f t="shared" si="160"/>
        <v>49.38</v>
      </c>
      <c r="L570" s="607" t="s">
        <v>16</v>
      </c>
      <c r="M570" s="30"/>
      <c r="N570" s="30"/>
      <c r="O570" s="287">
        <f t="shared" si="161"/>
        <v>0</v>
      </c>
      <c r="P570" s="287">
        <f t="shared" si="162"/>
        <v>0</v>
      </c>
      <c r="Q570" s="288"/>
      <c r="R570" s="243"/>
      <c r="S570" s="385" t="str">
        <f t="shared" si="175"/>
        <v/>
      </c>
    </row>
    <row r="571" spans="2:19" hidden="1">
      <c r="B571" s="609" t="s">
        <v>1786</v>
      </c>
      <c r="C571" s="610" t="s">
        <v>212</v>
      </c>
      <c r="D571" s="611" t="s">
        <v>525</v>
      </c>
      <c r="E571" s="602"/>
      <c r="F571" s="639">
        <v>15</v>
      </c>
      <c r="G571" s="673">
        <v>1.98</v>
      </c>
      <c r="H571" s="608">
        <f t="shared" si="178"/>
        <v>23.660999999999998</v>
      </c>
      <c r="I571" s="675">
        <v>20.67</v>
      </c>
      <c r="J571" s="675">
        <f t="shared" si="179"/>
        <v>44.331000000000003</v>
      </c>
      <c r="K571" s="606">
        <f t="shared" si="160"/>
        <v>53.8</v>
      </c>
      <c r="L571" s="607" t="s">
        <v>16</v>
      </c>
      <c r="M571" s="30"/>
      <c r="N571" s="30"/>
      <c r="O571" s="287">
        <f t="shared" si="161"/>
        <v>0</v>
      </c>
      <c r="P571" s="287">
        <f t="shared" si="162"/>
        <v>0</v>
      </c>
      <c r="Q571" s="288"/>
      <c r="R571" s="243"/>
      <c r="S571" s="385" t="str">
        <f t="shared" si="175"/>
        <v/>
      </c>
    </row>
    <row r="572" spans="2:19" hidden="1">
      <c r="B572" s="609" t="s">
        <v>1787</v>
      </c>
      <c r="C572" s="610" t="s">
        <v>212</v>
      </c>
      <c r="D572" s="611" t="s">
        <v>300</v>
      </c>
      <c r="E572" s="602"/>
      <c r="F572" s="639">
        <v>15</v>
      </c>
      <c r="G572" s="673">
        <v>2.1</v>
      </c>
      <c r="H572" s="608">
        <f t="shared" si="178"/>
        <v>25.094999999999999</v>
      </c>
      <c r="I572" s="675">
        <v>20.67</v>
      </c>
      <c r="J572" s="675">
        <f t="shared" si="179"/>
        <v>45.765000000000001</v>
      </c>
      <c r="K572" s="606">
        <f t="shared" si="160"/>
        <v>55.54</v>
      </c>
      <c r="L572" s="607" t="s">
        <v>16</v>
      </c>
      <c r="M572" s="30"/>
      <c r="N572" s="30"/>
      <c r="O572" s="287">
        <f t="shared" si="161"/>
        <v>0</v>
      </c>
      <c r="P572" s="287">
        <f t="shared" si="162"/>
        <v>0</v>
      </c>
      <c r="Q572" s="288"/>
      <c r="R572" s="243"/>
      <c r="S572" s="385" t="str">
        <f t="shared" si="175"/>
        <v/>
      </c>
    </row>
    <row r="573" spans="2:19" hidden="1">
      <c r="B573" s="609" t="s">
        <v>1939</v>
      </c>
      <c r="C573" s="610" t="s">
        <v>212</v>
      </c>
      <c r="D573" s="611" t="s">
        <v>244</v>
      </c>
      <c r="E573" s="602"/>
      <c r="F573" s="639">
        <v>20</v>
      </c>
      <c r="G573" s="673">
        <v>2.2000000000000002</v>
      </c>
      <c r="H573" s="608">
        <f t="shared" si="178"/>
        <v>33.99</v>
      </c>
      <c r="I573" s="675">
        <v>76.62</v>
      </c>
      <c r="J573" s="675">
        <f t="shared" si="179"/>
        <v>110.61000000000001</v>
      </c>
      <c r="K573" s="606">
        <f t="shared" si="160"/>
        <v>134.22999999999999</v>
      </c>
      <c r="L573" s="607" t="s">
        <v>16</v>
      </c>
      <c r="M573" s="30"/>
      <c r="N573" s="30"/>
      <c r="O573" s="287">
        <f t="shared" si="161"/>
        <v>0</v>
      </c>
      <c r="P573" s="287">
        <f t="shared" si="162"/>
        <v>0</v>
      </c>
      <c r="Q573" s="288"/>
      <c r="R573" s="243"/>
      <c r="S573" s="385" t="str">
        <f t="shared" si="175"/>
        <v/>
      </c>
    </row>
    <row r="574" spans="2:19" hidden="1">
      <c r="B574" s="609" t="s">
        <v>1842</v>
      </c>
      <c r="C574" s="610" t="s">
        <v>517</v>
      </c>
      <c r="D574" s="611" t="s">
        <v>799</v>
      </c>
      <c r="E574" s="602"/>
      <c r="F574" s="639">
        <v>10</v>
      </c>
      <c r="G574" s="673">
        <v>1.95</v>
      </c>
      <c r="H574" s="608">
        <f t="shared" si="178"/>
        <v>16.477499999999999</v>
      </c>
      <c r="I574" s="675">
        <v>72.11</v>
      </c>
      <c r="J574" s="675">
        <f t="shared" si="179"/>
        <v>88.587500000000006</v>
      </c>
      <c r="K574" s="606">
        <f t="shared" si="160"/>
        <v>107.5</v>
      </c>
      <c r="L574" s="607" t="s">
        <v>16</v>
      </c>
      <c r="M574" s="30"/>
      <c r="N574" s="30"/>
      <c r="O574" s="287">
        <f t="shared" si="161"/>
        <v>0</v>
      </c>
      <c r="P574" s="287">
        <f t="shared" si="162"/>
        <v>0</v>
      </c>
      <c r="Q574" s="288"/>
      <c r="R574" s="243"/>
      <c r="S574" s="385" t="str">
        <f t="shared" si="175"/>
        <v/>
      </c>
    </row>
    <row r="575" spans="2:19" hidden="1">
      <c r="B575" s="609" t="s">
        <v>1843</v>
      </c>
      <c r="C575" s="610" t="s">
        <v>517</v>
      </c>
      <c r="D575" s="611" t="s">
        <v>800</v>
      </c>
      <c r="E575" s="602"/>
      <c r="F575" s="639">
        <v>11</v>
      </c>
      <c r="G575" s="673">
        <v>2.1</v>
      </c>
      <c r="H575" s="608">
        <f t="shared" si="178"/>
        <v>19.214999999999996</v>
      </c>
      <c r="I575" s="675">
        <v>88.65</v>
      </c>
      <c r="J575" s="675">
        <f t="shared" si="179"/>
        <v>107.86500000000001</v>
      </c>
      <c r="K575" s="606">
        <f t="shared" si="160"/>
        <v>130.88999999999999</v>
      </c>
      <c r="L575" s="607" t="s">
        <v>16</v>
      </c>
      <c r="M575" s="30"/>
      <c r="N575" s="30"/>
      <c r="O575" s="287">
        <f t="shared" si="161"/>
        <v>0</v>
      </c>
      <c r="P575" s="287">
        <f t="shared" si="162"/>
        <v>0</v>
      </c>
      <c r="Q575" s="288"/>
      <c r="R575" s="243"/>
      <c r="S575" s="385" t="str">
        <f t="shared" si="175"/>
        <v/>
      </c>
    </row>
    <row r="576" spans="2:19" hidden="1">
      <c r="B576" s="609" t="s">
        <v>1940</v>
      </c>
      <c r="C576" s="610" t="s">
        <v>212</v>
      </c>
      <c r="D576" s="611" t="s">
        <v>526</v>
      </c>
      <c r="E576" s="602"/>
      <c r="F576" s="639">
        <v>20</v>
      </c>
      <c r="G576" s="673">
        <v>2.2000000000000002</v>
      </c>
      <c r="H576" s="608">
        <f t="shared" si="178"/>
        <v>33.99</v>
      </c>
      <c r="I576" s="675">
        <v>76.62</v>
      </c>
      <c r="J576" s="675">
        <f t="shared" si="179"/>
        <v>110.61000000000001</v>
      </c>
      <c r="K576" s="606">
        <f t="shared" si="160"/>
        <v>134.22999999999999</v>
      </c>
      <c r="L576" s="607" t="s">
        <v>16</v>
      </c>
      <c r="M576" s="30"/>
      <c r="N576" s="30"/>
      <c r="O576" s="287">
        <f t="shared" si="161"/>
        <v>0</v>
      </c>
      <c r="P576" s="287">
        <f t="shared" si="162"/>
        <v>0</v>
      </c>
      <c r="Q576" s="288"/>
      <c r="R576" s="243"/>
      <c r="S576" s="385" t="str">
        <f t="shared" si="175"/>
        <v/>
      </c>
    </row>
    <row r="577" spans="2:19" hidden="1">
      <c r="B577" s="609" t="s">
        <v>2011</v>
      </c>
      <c r="C577" s="610" t="s">
        <v>212</v>
      </c>
      <c r="D577" s="611" t="s">
        <v>301</v>
      </c>
      <c r="E577" s="602"/>
      <c r="F577" s="603">
        <v>20</v>
      </c>
      <c r="G577" s="604">
        <v>2.4</v>
      </c>
      <c r="H577" s="605">
        <f>IF(F577&lt;=30,(0.7*F577+2.91)*G577,((0.7*30+2.91)+0.58*(F577-30))*G577)</f>
        <v>40.583999999999996</v>
      </c>
      <c r="I577" s="675">
        <v>102.38</v>
      </c>
      <c r="J577" s="675">
        <f t="shared" si="179"/>
        <v>142.964</v>
      </c>
      <c r="K577" s="606">
        <f t="shared" si="160"/>
        <v>173.49</v>
      </c>
      <c r="L577" s="607" t="s">
        <v>16</v>
      </c>
      <c r="M577" s="433"/>
      <c r="N577" s="433"/>
      <c r="O577" s="423">
        <f t="shared" si="161"/>
        <v>0</v>
      </c>
      <c r="P577" s="423">
        <f t="shared" si="162"/>
        <v>0</v>
      </c>
      <c r="Q577" s="288"/>
      <c r="R577" s="243"/>
      <c r="S577" s="385" t="str">
        <f t="shared" si="175"/>
        <v/>
      </c>
    </row>
    <row r="578" spans="2:19" hidden="1">
      <c r="B578" s="630" t="s">
        <v>1038</v>
      </c>
      <c r="C578" s="700" t="s">
        <v>212</v>
      </c>
      <c r="D578" s="645" t="s">
        <v>1845</v>
      </c>
      <c r="E578" s="701"/>
      <c r="F578" s="734" t="s">
        <v>834</v>
      </c>
      <c r="G578" s="735">
        <v>1.1999999999999999E-3</v>
      </c>
      <c r="H578" s="736"/>
      <c r="I578" s="732">
        <v>0.33</v>
      </c>
      <c r="J578" s="732">
        <f>I578</f>
        <v>0.33</v>
      </c>
      <c r="K578" s="621">
        <f t="shared" si="160"/>
        <v>0.4</v>
      </c>
      <c r="L578" s="702" t="s">
        <v>18</v>
      </c>
      <c r="M578" s="780"/>
      <c r="N578" s="781"/>
      <c r="O578" s="434">
        <f t="shared" si="161"/>
        <v>0</v>
      </c>
      <c r="P578" s="435">
        <f t="shared" si="162"/>
        <v>0</v>
      </c>
      <c r="Q578" s="288"/>
      <c r="R578" s="243"/>
      <c r="S578" s="385" t="str">
        <f t="shared" si="175"/>
        <v/>
      </c>
    </row>
    <row r="579" spans="2:19" ht="13.5" hidden="1" thickBot="1">
      <c r="B579" s="631" t="s">
        <v>1042</v>
      </c>
      <c r="C579" s="703" t="s">
        <v>241</v>
      </c>
      <c r="D579" s="652" t="s">
        <v>958</v>
      </c>
      <c r="E579" s="704"/>
      <c r="F579" s="775">
        <v>500</v>
      </c>
      <c r="G579" s="776">
        <v>1</v>
      </c>
      <c r="H579" s="739">
        <f>(0.52*F579+25.75)*G579</f>
        <v>285.75</v>
      </c>
      <c r="I579" s="733">
        <v>3537.5</v>
      </c>
      <c r="J579" s="733">
        <f>IF(ISBLANK(I579),"",I579*(1+$F$9)/(1+$F$10))+H579</f>
        <v>3646.3021219612692</v>
      </c>
      <c r="K579" s="658">
        <f t="shared" si="160"/>
        <v>4424.79</v>
      </c>
      <c r="L579" s="705" t="s">
        <v>20</v>
      </c>
      <c r="M579" s="777">
        <f>ROUND(M578*G578,2)</f>
        <v>0</v>
      </c>
      <c r="N579" s="778"/>
      <c r="O579" s="436">
        <f t="shared" si="161"/>
        <v>0</v>
      </c>
      <c r="P579" s="437">
        <f t="shared" si="162"/>
        <v>0</v>
      </c>
      <c r="Q579" s="288"/>
      <c r="R579" s="243"/>
      <c r="S579" s="385" t="str">
        <f t="shared" si="175"/>
        <v/>
      </c>
    </row>
    <row r="580" spans="2:19" hidden="1">
      <c r="B580" s="630" t="s">
        <v>1805</v>
      </c>
      <c r="C580" s="700" t="s">
        <v>212</v>
      </c>
      <c r="D580" s="645" t="s">
        <v>812</v>
      </c>
      <c r="E580" s="701"/>
      <c r="F580" s="734" t="s">
        <v>2093</v>
      </c>
      <c r="G580" s="735">
        <v>1.1000000000000001E-3</v>
      </c>
      <c r="H580" s="736"/>
      <c r="I580" s="732">
        <v>0.33</v>
      </c>
      <c r="J580" s="732">
        <f t="shared" ref="J580" si="180">IF(ISBLANK(I580),"",SUM(H580:I580))</f>
        <v>0.33</v>
      </c>
      <c r="K580" s="621">
        <f t="shared" si="160"/>
        <v>0.4</v>
      </c>
      <c r="L580" s="702" t="s">
        <v>18</v>
      </c>
      <c r="M580" s="773"/>
      <c r="N580" s="30"/>
      <c r="O580" s="386">
        <f t="shared" si="161"/>
        <v>0</v>
      </c>
      <c r="P580" s="774">
        <f t="shared" si="162"/>
        <v>0</v>
      </c>
      <c r="Q580" s="288"/>
      <c r="R580" s="243"/>
      <c r="S580" s="385" t="str">
        <f t="shared" si="175"/>
        <v/>
      </c>
    </row>
    <row r="581" spans="2:19" ht="13.5" hidden="1" thickBot="1">
      <c r="B581" s="631" t="s">
        <v>1880</v>
      </c>
      <c r="C581" s="703" t="s">
        <v>241</v>
      </c>
      <c r="D581" s="652" t="s">
        <v>959</v>
      </c>
      <c r="E581" s="704"/>
      <c r="F581" s="775">
        <v>500</v>
      </c>
      <c r="G581" s="776">
        <v>1</v>
      </c>
      <c r="H581" s="739">
        <f>(0.52*F581+25.75)*G581</f>
        <v>285.75</v>
      </c>
      <c r="I581" s="733">
        <v>3981.34</v>
      </c>
      <c r="J581" s="733">
        <f>IF(ISBLANK(I581),"",I581*(1+$F$9)/(1+$F$10))+H581</f>
        <v>4067.9409781623403</v>
      </c>
      <c r="K581" s="658">
        <f t="shared" si="160"/>
        <v>4936.45</v>
      </c>
      <c r="L581" s="705" t="s">
        <v>20</v>
      </c>
      <c r="M581" s="777">
        <f>ROUND(M580*G580,2)</f>
        <v>0</v>
      </c>
      <c r="N581" s="778"/>
      <c r="O581" s="436">
        <f t="shared" si="161"/>
        <v>0</v>
      </c>
      <c r="P581" s="437">
        <f t="shared" si="162"/>
        <v>0</v>
      </c>
      <c r="Q581" s="288"/>
      <c r="R581" s="243"/>
      <c r="S581" s="385" t="str">
        <f t="shared" si="175"/>
        <v/>
      </c>
    </row>
    <row r="582" spans="2:19" hidden="1">
      <c r="B582" s="653" t="s">
        <v>1941</v>
      </c>
      <c r="C582" s="700" t="s">
        <v>212</v>
      </c>
      <c r="D582" s="645" t="s">
        <v>813</v>
      </c>
      <c r="E582" s="701"/>
      <c r="F582" s="734" t="s">
        <v>2094</v>
      </c>
      <c r="G582" s="735">
        <v>1.1999999999999999E-3</v>
      </c>
      <c r="H582" s="736"/>
      <c r="I582" s="732">
        <v>0.33</v>
      </c>
      <c r="J582" s="732">
        <f t="shared" ref="J582:J584" si="181">IF(ISBLANK(I582),"",SUM(H582:I582))</f>
        <v>0.33</v>
      </c>
      <c r="K582" s="621">
        <f t="shared" si="160"/>
        <v>0.4</v>
      </c>
      <c r="L582" s="702" t="s">
        <v>18</v>
      </c>
      <c r="M582" s="773"/>
      <c r="N582" s="30"/>
      <c r="O582" s="386">
        <f t="shared" si="161"/>
        <v>0</v>
      </c>
      <c r="P582" s="774">
        <f t="shared" si="162"/>
        <v>0</v>
      </c>
      <c r="Q582" s="288"/>
      <c r="R582" s="243"/>
      <c r="S582" s="385" t="str">
        <f t="shared" si="175"/>
        <v/>
      </c>
    </row>
    <row r="583" spans="2:19" ht="13.5" hidden="1" thickBot="1">
      <c r="B583" s="654" t="s">
        <v>1942</v>
      </c>
      <c r="C583" s="703" t="s">
        <v>241</v>
      </c>
      <c r="D583" s="652" t="s">
        <v>819</v>
      </c>
      <c r="E583" s="704"/>
      <c r="F583" s="775">
        <v>500</v>
      </c>
      <c r="G583" s="776">
        <v>1</v>
      </c>
      <c r="H583" s="739">
        <f>(0.52*F583+25.75)*G583</f>
        <v>285.75</v>
      </c>
      <c r="I583" s="733">
        <v>6642.53</v>
      </c>
      <c r="J583" s="733">
        <f>IF(ISBLANK(I583),"",I583*(1+$F$9)/(1+$F$10))+H583</f>
        <v>6596.0166534816644</v>
      </c>
      <c r="K583" s="658">
        <f t="shared" si="160"/>
        <v>8004.27</v>
      </c>
      <c r="L583" s="705" t="s">
        <v>20</v>
      </c>
      <c r="M583" s="777">
        <f>ROUND(M582*G582,2)</f>
        <v>0</v>
      </c>
      <c r="N583" s="778"/>
      <c r="O583" s="436">
        <f t="shared" si="161"/>
        <v>0</v>
      </c>
      <c r="P583" s="437">
        <f t="shared" si="162"/>
        <v>0</v>
      </c>
      <c r="Q583" s="288"/>
      <c r="R583" s="243"/>
      <c r="S583" s="385" t="str">
        <f t="shared" si="175"/>
        <v/>
      </c>
    </row>
    <row r="584" spans="2:19" hidden="1">
      <c r="B584" s="630" t="s">
        <v>1943</v>
      </c>
      <c r="C584" s="700" t="s">
        <v>212</v>
      </c>
      <c r="D584" s="645" t="s">
        <v>960</v>
      </c>
      <c r="E584" s="701"/>
      <c r="F584" s="734" t="s">
        <v>834</v>
      </c>
      <c r="G584" s="735">
        <v>5.0000000000000001E-4</v>
      </c>
      <c r="H584" s="736"/>
      <c r="I584" s="732">
        <v>0.23</v>
      </c>
      <c r="J584" s="732">
        <f t="shared" si="181"/>
        <v>0.23</v>
      </c>
      <c r="K584" s="621">
        <f t="shared" si="160"/>
        <v>0.28000000000000003</v>
      </c>
      <c r="L584" s="702" t="s">
        <v>18</v>
      </c>
      <c r="M584" s="773"/>
      <c r="N584" s="30"/>
      <c r="O584" s="386">
        <f t="shared" si="161"/>
        <v>0</v>
      </c>
      <c r="P584" s="774">
        <f t="shared" si="162"/>
        <v>0</v>
      </c>
      <c r="Q584" s="288"/>
      <c r="R584" s="243"/>
      <c r="S584" s="385" t="str">
        <f t="shared" si="175"/>
        <v/>
      </c>
    </row>
    <row r="585" spans="2:19" ht="13.5" hidden="1" thickBot="1">
      <c r="B585" s="631" t="s">
        <v>1846</v>
      </c>
      <c r="C585" s="703" t="s">
        <v>241</v>
      </c>
      <c r="D585" s="652" t="s">
        <v>1043</v>
      </c>
      <c r="E585" s="704"/>
      <c r="F585" s="775">
        <v>500</v>
      </c>
      <c r="G585" s="779">
        <v>1</v>
      </c>
      <c r="H585" s="744">
        <f>(0.52*F585+25.75)*G585</f>
        <v>285.75</v>
      </c>
      <c r="I585" s="733">
        <v>3537.5</v>
      </c>
      <c r="J585" s="733">
        <f>IF(ISBLANK(I585),"",I585*(1+$F$9)/(1+$F$10))+H585</f>
        <v>3646.3021219612692</v>
      </c>
      <c r="K585" s="658">
        <f t="shared" si="160"/>
        <v>4424.79</v>
      </c>
      <c r="L585" s="705" t="s">
        <v>20</v>
      </c>
      <c r="M585" s="777">
        <f>ROUND(M584*G584,2)</f>
        <v>0</v>
      </c>
      <c r="N585" s="778"/>
      <c r="O585" s="436">
        <f t="shared" si="161"/>
        <v>0</v>
      </c>
      <c r="P585" s="437">
        <f t="shared" si="162"/>
        <v>0</v>
      </c>
      <c r="Q585" s="288"/>
      <c r="R585" s="243"/>
      <c r="S585" s="385" t="str">
        <f t="shared" si="175"/>
        <v/>
      </c>
    </row>
    <row r="586" spans="2:19" hidden="1">
      <c r="B586" s="632" t="s">
        <v>2013</v>
      </c>
      <c r="C586" s="714" t="s">
        <v>212</v>
      </c>
      <c r="D586" s="645" t="s">
        <v>269</v>
      </c>
      <c r="E586" s="701"/>
      <c r="F586" s="734" t="s">
        <v>828</v>
      </c>
      <c r="G586" s="735">
        <v>5.0000000000000001E-4</v>
      </c>
      <c r="H586" s="736">
        <f>SUM(H587:H587)</f>
        <v>0.10815</v>
      </c>
      <c r="I586" s="732">
        <v>0.88</v>
      </c>
      <c r="J586" s="732">
        <f t="shared" ref="J586" si="182">IF(ISBLANK(I586),"",SUM(H586:I586))</f>
        <v>0.98814999999999997</v>
      </c>
      <c r="K586" s="621">
        <f t="shared" si="160"/>
        <v>1.2</v>
      </c>
      <c r="L586" s="702" t="s">
        <v>18</v>
      </c>
      <c r="M586" s="780"/>
      <c r="N586" s="781"/>
      <c r="O586" s="434">
        <f t="shared" si="161"/>
        <v>0</v>
      </c>
      <c r="P586" s="435">
        <f t="shared" si="162"/>
        <v>0</v>
      </c>
      <c r="Q586" s="288"/>
      <c r="R586" s="243"/>
      <c r="S586" s="385" t="str">
        <f t="shared" si="175"/>
        <v/>
      </c>
    </row>
    <row r="587" spans="2:19" hidden="1">
      <c r="B587" s="609" t="s">
        <v>168</v>
      </c>
      <c r="C587" s="610"/>
      <c r="D587" s="648" t="s">
        <v>260</v>
      </c>
      <c r="E587" s="602"/>
      <c r="F587" s="747">
        <v>20</v>
      </c>
      <c r="G587" s="741">
        <v>7.0000000000000001E-3</v>
      </c>
      <c r="H587" s="739">
        <f t="shared" ref="H587" si="183">IF(F587&lt;=30,(0.7*F587+1.45)*G587,((0.7*30+1.45)+0.58*(F587-30))*G587)</f>
        <v>0.10815</v>
      </c>
      <c r="I587" s="387"/>
      <c r="J587" s="387"/>
      <c r="K587" s="606">
        <f t="shared" si="160"/>
        <v>0</v>
      </c>
      <c r="L587" s="716" t="s">
        <v>777</v>
      </c>
      <c r="M587" s="782"/>
      <c r="N587" s="430"/>
      <c r="O587" s="287">
        <f t="shared" si="161"/>
        <v>0</v>
      </c>
      <c r="P587" s="391">
        <f t="shared" si="162"/>
        <v>0</v>
      </c>
      <c r="Q587" s="288"/>
      <c r="R587" s="315" t="str">
        <f>IF(P586&gt;0,"xy","")</f>
        <v/>
      </c>
      <c r="S587" s="385" t="str">
        <f t="shared" si="175"/>
        <v/>
      </c>
    </row>
    <row r="588" spans="2:19" ht="13.5" hidden="1" thickBot="1">
      <c r="B588" s="633" t="s">
        <v>1861</v>
      </c>
      <c r="C588" s="715" t="s">
        <v>241</v>
      </c>
      <c r="D588" s="646" t="s">
        <v>822</v>
      </c>
      <c r="E588" s="704"/>
      <c r="F588" s="742">
        <v>500</v>
      </c>
      <c r="G588" s="743">
        <v>1</v>
      </c>
      <c r="H588" s="744">
        <f>(0.52*F588+25.75)*G588</f>
        <v>285.75</v>
      </c>
      <c r="I588" s="733">
        <v>3897.06</v>
      </c>
      <c r="J588" s="733">
        <f>IF(ISBLANK(I588),"",I588*(1+$F$9)/(1+$F$10))+H588</f>
        <v>3987.8767144622993</v>
      </c>
      <c r="K588" s="658">
        <f t="shared" si="160"/>
        <v>4839.29</v>
      </c>
      <c r="L588" s="705" t="s">
        <v>20</v>
      </c>
      <c r="M588" s="777">
        <f>ROUND(M586*G586,2)</f>
        <v>0</v>
      </c>
      <c r="N588" s="785"/>
      <c r="O588" s="436">
        <f t="shared" si="161"/>
        <v>0</v>
      </c>
      <c r="P588" s="437">
        <f t="shared" si="162"/>
        <v>0</v>
      </c>
      <c r="Q588" s="288"/>
      <c r="S588" s="385" t="str">
        <f t="shared" si="175"/>
        <v/>
      </c>
    </row>
    <row r="589" spans="2:19" hidden="1">
      <c r="B589" s="632" t="s">
        <v>1967</v>
      </c>
      <c r="C589" s="714" t="s">
        <v>212</v>
      </c>
      <c r="D589" s="645" t="s">
        <v>838</v>
      </c>
      <c r="E589" s="701"/>
      <c r="F589" s="734" t="s">
        <v>830</v>
      </c>
      <c r="G589" s="735">
        <v>0.08</v>
      </c>
      <c r="H589" s="736">
        <f>SUM(H590:H593)</f>
        <v>40.572800000000008</v>
      </c>
      <c r="I589" s="732">
        <v>110.27</v>
      </c>
      <c r="J589" s="732">
        <f t="shared" ref="J589" si="184">IF(ISBLANK(I589),"",SUM(H589:I589))</f>
        <v>150.84280000000001</v>
      </c>
      <c r="K589" s="621">
        <f t="shared" si="160"/>
        <v>183.05</v>
      </c>
      <c r="L589" s="702" t="s">
        <v>16</v>
      </c>
      <c r="M589" s="780"/>
      <c r="N589" s="781"/>
      <c r="O589" s="434">
        <f t="shared" si="161"/>
        <v>0</v>
      </c>
      <c r="P589" s="435">
        <f t="shared" si="162"/>
        <v>0</v>
      </c>
      <c r="Q589" s="288"/>
      <c r="R589" s="243"/>
      <c r="S589" s="385" t="str">
        <f t="shared" si="175"/>
        <v/>
      </c>
    </row>
    <row r="590" spans="2:19" hidden="1">
      <c r="B590" s="609" t="s">
        <v>168</v>
      </c>
      <c r="C590" s="610"/>
      <c r="D590" s="648" t="s">
        <v>256</v>
      </c>
      <c r="E590" s="602"/>
      <c r="F590" s="737">
        <v>180</v>
      </c>
      <c r="G590" s="741"/>
      <c r="H590" s="739">
        <f t="shared" ref="H590" si="185">IF(F590&lt;=30,(0.7*F590+1.45)*G590,((0.7*30+1.45)+0.58*(F590-30))*G590)</f>
        <v>0</v>
      </c>
      <c r="I590" s="387"/>
      <c r="J590" s="387" t="str">
        <f t="shared" ref="J590" si="186">IF(ISBLANK(I590),"",SUM(H590:I590))</f>
        <v/>
      </c>
      <c r="K590" s="606">
        <f t="shared" si="160"/>
        <v>0</v>
      </c>
      <c r="L590" s="607" t="s">
        <v>777</v>
      </c>
      <c r="M590" s="782"/>
      <c r="N590" s="430"/>
      <c r="O590" s="287">
        <f t="shared" si="161"/>
        <v>0</v>
      </c>
      <c r="P590" s="391">
        <f t="shared" si="162"/>
        <v>0</v>
      </c>
      <c r="Q590" s="288"/>
      <c r="R590" s="315" t="str">
        <f>IF(P589&gt;0,"xy","")</f>
        <v/>
      </c>
      <c r="S590" s="385" t="str">
        <f t="shared" si="175"/>
        <v/>
      </c>
    </row>
    <row r="591" spans="2:19" hidden="1">
      <c r="B591" s="609" t="s">
        <v>168</v>
      </c>
      <c r="C591" s="610"/>
      <c r="D591" s="648" t="s">
        <v>257</v>
      </c>
      <c r="E591" s="602"/>
      <c r="F591" s="737">
        <v>500</v>
      </c>
      <c r="G591" s="741"/>
      <c r="H591" s="740">
        <f>IF(F591&lt;=30,(0.51*F591+4.28)*G591,((0.51*30+4.28)+0.42*(F591-30))*G591)</f>
        <v>0</v>
      </c>
      <c r="I591" s="387"/>
      <c r="J591" s="387" t="str">
        <f t="shared" ref="J591" si="187">IF(ISBLANK(I591),"",SUM(H591:I591))</f>
        <v/>
      </c>
      <c r="K591" s="606">
        <f t="shared" si="160"/>
        <v>0</v>
      </c>
      <c r="L591" s="607" t="s">
        <v>777</v>
      </c>
      <c r="M591" s="782"/>
      <c r="N591" s="430"/>
      <c r="O591" s="287">
        <f t="shared" si="161"/>
        <v>0</v>
      </c>
      <c r="P591" s="391">
        <f t="shared" si="162"/>
        <v>0</v>
      </c>
      <c r="Q591" s="288"/>
      <c r="R591" s="315" t="str">
        <f>IF(P589&gt;0,"xy","")</f>
        <v/>
      </c>
      <c r="S591" s="385" t="str">
        <f t="shared" si="175"/>
        <v/>
      </c>
    </row>
    <row r="592" spans="2:19" hidden="1">
      <c r="B592" s="609" t="s">
        <v>168</v>
      </c>
      <c r="C592" s="610"/>
      <c r="D592" s="648" t="s">
        <v>270</v>
      </c>
      <c r="E592" s="602"/>
      <c r="F592" s="737">
        <v>0.2</v>
      </c>
      <c r="G592" s="741">
        <v>2.12</v>
      </c>
      <c r="H592" s="740">
        <f>IF(F592=0,0,IF(F592&lt;=30,(0.7*F592+1.45)*G592,((0.7*30+1.45)+0.58*(F592-30))*G592))</f>
        <v>3.3708</v>
      </c>
      <c r="I592" s="387"/>
      <c r="J592" s="387"/>
      <c r="K592" s="606">
        <f t="shared" si="160"/>
        <v>0</v>
      </c>
      <c r="L592" s="607" t="s">
        <v>777</v>
      </c>
      <c r="M592" s="782"/>
      <c r="N592" s="430"/>
      <c r="O592" s="287">
        <f t="shared" si="161"/>
        <v>0</v>
      </c>
      <c r="P592" s="391">
        <f t="shared" si="162"/>
        <v>0</v>
      </c>
      <c r="Q592" s="288"/>
      <c r="R592" s="315" t="str">
        <f>IF(P589&gt;0,"xy","")</f>
        <v/>
      </c>
      <c r="S592" s="385" t="str">
        <f t="shared" si="175"/>
        <v/>
      </c>
    </row>
    <row r="593" spans="2:19" hidden="1">
      <c r="B593" s="609" t="s">
        <v>168</v>
      </c>
      <c r="C593" s="610"/>
      <c r="D593" s="648" t="s">
        <v>271</v>
      </c>
      <c r="E593" s="602"/>
      <c r="F593" s="737">
        <v>20</v>
      </c>
      <c r="G593" s="741">
        <f>SUM(G589:G592)</f>
        <v>2.2000000000000002</v>
      </c>
      <c r="H593" s="740">
        <f>IF(F593&lt;=30,(0.7*F593+2.91)*G593,((0.7*30+2.91)+0.58*(F593-30))*G593)</f>
        <v>37.202000000000005</v>
      </c>
      <c r="I593" s="387"/>
      <c r="J593" s="387"/>
      <c r="K593" s="606">
        <f t="shared" si="160"/>
        <v>0</v>
      </c>
      <c r="L593" s="607" t="s">
        <v>777</v>
      </c>
      <c r="M593" s="782"/>
      <c r="N593" s="786"/>
      <c r="O593" s="287">
        <f t="shared" si="161"/>
        <v>0</v>
      </c>
      <c r="P593" s="391">
        <f t="shared" si="162"/>
        <v>0</v>
      </c>
      <c r="Q593" s="288"/>
      <c r="R593" s="315" t="str">
        <f>IF(P589&gt;0,"xy","")</f>
        <v/>
      </c>
      <c r="S593" s="385" t="str">
        <f t="shared" si="175"/>
        <v/>
      </c>
    </row>
    <row r="594" spans="2:19" ht="13.5" hidden="1" thickBot="1">
      <c r="B594" s="633" t="s">
        <v>1871</v>
      </c>
      <c r="C594" s="715" t="s">
        <v>241</v>
      </c>
      <c r="D594" s="646" t="s">
        <v>1026</v>
      </c>
      <c r="E594" s="704"/>
      <c r="F594" s="742">
        <v>500</v>
      </c>
      <c r="G594" s="743">
        <v>1</v>
      </c>
      <c r="H594" s="744">
        <f>(0.52*F594+25.75)*G594</f>
        <v>285.75</v>
      </c>
      <c r="I594" s="733">
        <v>4206.5200000000004</v>
      </c>
      <c r="J594" s="733">
        <f>IF(ISBLANK(I594),"",I594*(1+$F$9)/(1+$F$10))+H594</f>
        <v>4281.8573391017726</v>
      </c>
      <c r="K594" s="658">
        <f t="shared" si="160"/>
        <v>5196.03</v>
      </c>
      <c r="L594" s="705" t="s">
        <v>20</v>
      </c>
      <c r="M594" s="777">
        <f>ROUND(M589*G589,2)</f>
        <v>0</v>
      </c>
      <c r="N594" s="783"/>
      <c r="O594" s="436">
        <f t="shared" si="161"/>
        <v>0</v>
      </c>
      <c r="P594" s="437">
        <f t="shared" si="162"/>
        <v>0</v>
      </c>
      <c r="Q594" s="288"/>
      <c r="S594" s="385" t="str">
        <f t="shared" si="175"/>
        <v/>
      </c>
    </row>
    <row r="595" spans="2:19" hidden="1">
      <c r="B595" s="632" t="s">
        <v>1968</v>
      </c>
      <c r="C595" s="714" t="s">
        <v>212</v>
      </c>
      <c r="D595" s="645" t="s">
        <v>837</v>
      </c>
      <c r="E595" s="701"/>
      <c r="F595" s="734" t="s">
        <v>830</v>
      </c>
      <c r="G595" s="735">
        <v>0.08</v>
      </c>
      <c r="H595" s="736">
        <f>SUM(H596:H599)</f>
        <v>40.572800000000008</v>
      </c>
      <c r="I595" s="732">
        <v>110.27</v>
      </c>
      <c r="J595" s="732">
        <f t="shared" ref="J595" si="188">IF(ISBLANK(I595),"",SUM(H595:I595))</f>
        <v>150.84280000000001</v>
      </c>
      <c r="K595" s="621">
        <f t="shared" si="160"/>
        <v>183.05</v>
      </c>
      <c r="L595" s="702" t="s">
        <v>16</v>
      </c>
      <c r="M595" s="780"/>
      <c r="N595" s="781"/>
      <c r="O595" s="434">
        <f t="shared" si="161"/>
        <v>0</v>
      </c>
      <c r="P595" s="435">
        <f t="shared" si="162"/>
        <v>0</v>
      </c>
      <c r="Q595" s="288"/>
      <c r="R595" s="243"/>
      <c r="S595" s="385" t="str">
        <f t="shared" si="175"/>
        <v/>
      </c>
    </row>
    <row r="596" spans="2:19" hidden="1">
      <c r="B596" s="609" t="s">
        <v>168</v>
      </c>
      <c r="C596" s="610"/>
      <c r="D596" s="648" t="s">
        <v>256</v>
      </c>
      <c r="E596" s="602"/>
      <c r="F596" s="737">
        <v>180</v>
      </c>
      <c r="G596" s="741"/>
      <c r="H596" s="739">
        <f t="shared" ref="H596" si="189">IF(F596&lt;=30,(0.7*F596+1.45)*G596,((0.7*30+1.45)+0.58*(F596-30))*G596)</f>
        <v>0</v>
      </c>
      <c r="I596" s="387"/>
      <c r="J596" s="387" t="str">
        <f t="shared" ref="J596" si="190">IF(ISBLANK(I596),"",SUM(H596:I596))</f>
        <v/>
      </c>
      <c r="K596" s="606">
        <f t="shared" si="160"/>
        <v>0</v>
      </c>
      <c r="L596" s="607" t="s">
        <v>777</v>
      </c>
      <c r="M596" s="782"/>
      <c r="N596" s="430"/>
      <c r="O596" s="287">
        <f t="shared" si="161"/>
        <v>0</v>
      </c>
      <c r="P596" s="391">
        <f t="shared" si="162"/>
        <v>0</v>
      </c>
      <c r="Q596" s="288"/>
      <c r="R596" s="315" t="str">
        <f>IF(P595&gt;0,"xy","")</f>
        <v/>
      </c>
      <c r="S596" s="385" t="str">
        <f t="shared" si="175"/>
        <v/>
      </c>
    </row>
    <row r="597" spans="2:19" hidden="1">
      <c r="B597" s="609" t="s">
        <v>168</v>
      </c>
      <c r="C597" s="610"/>
      <c r="D597" s="648" t="s">
        <v>257</v>
      </c>
      <c r="E597" s="602"/>
      <c r="F597" s="737">
        <v>500</v>
      </c>
      <c r="G597" s="741"/>
      <c r="H597" s="740">
        <f>IF(F597&lt;=30,(0.51*F597+4.28)*G597,((0.51*30+4.28)+0.42*(F597-30))*G597)</f>
        <v>0</v>
      </c>
      <c r="I597" s="387"/>
      <c r="J597" s="387" t="str">
        <f t="shared" ref="J597" si="191">IF(ISBLANK(I597),"",SUM(H597:I597))</f>
        <v/>
      </c>
      <c r="K597" s="606">
        <f t="shared" si="160"/>
        <v>0</v>
      </c>
      <c r="L597" s="607" t="s">
        <v>777</v>
      </c>
      <c r="M597" s="782"/>
      <c r="N597" s="430"/>
      <c r="O597" s="287">
        <f t="shared" si="161"/>
        <v>0</v>
      </c>
      <c r="P597" s="391">
        <f t="shared" si="162"/>
        <v>0</v>
      </c>
      <c r="Q597" s="288"/>
      <c r="R597" s="315" t="str">
        <f>IF(P595&gt;0,"xy","")</f>
        <v/>
      </c>
      <c r="S597" s="385" t="str">
        <f t="shared" si="175"/>
        <v/>
      </c>
    </row>
    <row r="598" spans="2:19" hidden="1">
      <c r="B598" s="609" t="s">
        <v>168</v>
      </c>
      <c r="C598" s="610"/>
      <c r="D598" s="648" t="s">
        <v>270</v>
      </c>
      <c r="E598" s="602"/>
      <c r="F598" s="737">
        <v>0.2</v>
      </c>
      <c r="G598" s="741">
        <v>2.12</v>
      </c>
      <c r="H598" s="740">
        <f>IF(F598=0,0,IF(F598&lt;=30,(0.7*F598+1.45)*G598,((0.7*30+1.45)+0.58*(F598-30))*G598))</f>
        <v>3.3708</v>
      </c>
      <c r="I598" s="387"/>
      <c r="J598" s="387"/>
      <c r="K598" s="606">
        <f t="shared" si="160"/>
        <v>0</v>
      </c>
      <c r="L598" s="607" t="s">
        <v>777</v>
      </c>
      <c r="M598" s="782"/>
      <c r="N598" s="430"/>
      <c r="O598" s="287">
        <f t="shared" si="161"/>
        <v>0</v>
      </c>
      <c r="P598" s="391">
        <f t="shared" si="162"/>
        <v>0</v>
      </c>
      <c r="Q598" s="288"/>
      <c r="R598" s="315" t="str">
        <f>IF(P595&gt;0,"xy","")</f>
        <v/>
      </c>
      <c r="S598" s="385" t="str">
        <f t="shared" si="175"/>
        <v/>
      </c>
    </row>
    <row r="599" spans="2:19" hidden="1">
      <c r="B599" s="609" t="s">
        <v>168</v>
      </c>
      <c r="C599" s="610"/>
      <c r="D599" s="648" t="s">
        <v>271</v>
      </c>
      <c r="E599" s="602"/>
      <c r="F599" s="737">
        <v>20</v>
      </c>
      <c r="G599" s="741">
        <f>SUM(G595:G598)</f>
        <v>2.2000000000000002</v>
      </c>
      <c r="H599" s="740">
        <f>IF(F599&lt;=30,(0.7*F599+2.91)*G599,((0.7*30+2.91)+0.58*(F599-30))*G599)</f>
        <v>37.202000000000005</v>
      </c>
      <c r="I599" s="387"/>
      <c r="J599" s="387"/>
      <c r="K599" s="606">
        <f t="shared" si="160"/>
        <v>0</v>
      </c>
      <c r="L599" s="607" t="s">
        <v>777</v>
      </c>
      <c r="M599" s="782"/>
      <c r="N599" s="786"/>
      <c r="O599" s="287">
        <f t="shared" si="161"/>
        <v>0</v>
      </c>
      <c r="P599" s="391">
        <f t="shared" si="162"/>
        <v>0</v>
      </c>
      <c r="Q599" s="288"/>
      <c r="R599" s="315" t="str">
        <f>IF(P595&gt;0,"xy","")</f>
        <v/>
      </c>
      <c r="S599" s="385" t="str">
        <f t="shared" si="175"/>
        <v/>
      </c>
    </row>
    <row r="600" spans="2:19" ht="13.5" hidden="1" thickBot="1">
      <c r="B600" s="633" t="s">
        <v>1872</v>
      </c>
      <c r="C600" s="715" t="s">
        <v>241</v>
      </c>
      <c r="D600" s="646" t="s">
        <v>1026</v>
      </c>
      <c r="E600" s="704"/>
      <c r="F600" s="742">
        <v>500</v>
      </c>
      <c r="G600" s="743">
        <v>1</v>
      </c>
      <c r="H600" s="744">
        <f>(0.52*F600+25.75)*G600</f>
        <v>285.75</v>
      </c>
      <c r="I600" s="733">
        <v>4206.5200000000004</v>
      </c>
      <c r="J600" s="733">
        <f>IF(ISBLANK(I600),"",I600*(1+$F$9)/(1+$F$10))+H600</f>
        <v>4281.8573391017726</v>
      </c>
      <c r="K600" s="658">
        <f t="shared" ref="K600:K691" si="192">IF(ISBLANK(I600),0,ROUND(J600*(1+$F$10)*(1+$F$11*E600),2))</f>
        <v>5196.03</v>
      </c>
      <c r="L600" s="705" t="s">
        <v>20</v>
      </c>
      <c r="M600" s="777">
        <f>ROUND(M595*G595,2)</f>
        <v>0</v>
      </c>
      <c r="N600" s="783"/>
      <c r="O600" s="436">
        <f t="shared" si="161"/>
        <v>0</v>
      </c>
      <c r="P600" s="437">
        <f t="shared" si="162"/>
        <v>0</v>
      </c>
      <c r="Q600" s="288"/>
      <c r="S600" s="385" t="str">
        <f t="shared" si="175"/>
        <v/>
      </c>
    </row>
    <row r="601" spans="2:19" hidden="1">
      <c r="B601" s="632" t="s">
        <v>1969</v>
      </c>
      <c r="C601" s="714" t="s">
        <v>212</v>
      </c>
      <c r="D601" s="645" t="s">
        <v>839</v>
      </c>
      <c r="E601" s="701"/>
      <c r="F601" s="734" t="s">
        <v>830</v>
      </c>
      <c r="G601" s="735">
        <v>0.08</v>
      </c>
      <c r="H601" s="736">
        <f>SUM(H602:H605)</f>
        <v>40.572800000000008</v>
      </c>
      <c r="I601" s="732">
        <v>110.27</v>
      </c>
      <c r="J601" s="732">
        <f t="shared" ref="J601" si="193">IF(ISBLANK(I601),"",SUM(H601:I601))</f>
        <v>150.84280000000001</v>
      </c>
      <c r="K601" s="621">
        <f t="shared" si="192"/>
        <v>183.05</v>
      </c>
      <c r="L601" s="702" t="s">
        <v>16</v>
      </c>
      <c r="M601" s="780"/>
      <c r="N601" s="781"/>
      <c r="O601" s="434">
        <f t="shared" si="161"/>
        <v>0</v>
      </c>
      <c r="P601" s="435">
        <f t="shared" si="162"/>
        <v>0</v>
      </c>
      <c r="Q601" s="288"/>
      <c r="R601" s="243"/>
      <c r="S601" s="385" t="str">
        <f t="shared" si="175"/>
        <v/>
      </c>
    </row>
    <row r="602" spans="2:19" hidden="1">
      <c r="B602" s="609" t="s">
        <v>168</v>
      </c>
      <c r="C602" s="610"/>
      <c r="D602" s="648" t="s">
        <v>256</v>
      </c>
      <c r="E602" s="602"/>
      <c r="F602" s="737">
        <v>180</v>
      </c>
      <c r="G602" s="741"/>
      <c r="H602" s="739">
        <f t="shared" ref="H602" si="194">IF(F602&lt;=30,(0.7*F602+1.45)*G602,((0.7*30+1.45)+0.58*(F602-30))*G602)</f>
        <v>0</v>
      </c>
      <c r="I602" s="387"/>
      <c r="J602" s="387" t="str">
        <f t="shared" ref="J602" si="195">IF(ISBLANK(I602),"",SUM(H602:I602))</f>
        <v/>
      </c>
      <c r="K602" s="606">
        <f t="shared" si="192"/>
        <v>0</v>
      </c>
      <c r="L602" s="607" t="s">
        <v>777</v>
      </c>
      <c r="M602" s="782"/>
      <c r="N602" s="430"/>
      <c r="O602" s="287">
        <f t="shared" si="161"/>
        <v>0</v>
      </c>
      <c r="P602" s="391">
        <f t="shared" si="162"/>
        <v>0</v>
      </c>
      <c r="Q602" s="288"/>
      <c r="R602" s="315" t="str">
        <f>IF(P601&gt;0,"xy","")</f>
        <v/>
      </c>
      <c r="S602" s="385" t="str">
        <f t="shared" si="175"/>
        <v/>
      </c>
    </row>
    <row r="603" spans="2:19" hidden="1">
      <c r="B603" s="609" t="s">
        <v>168</v>
      </c>
      <c r="C603" s="610"/>
      <c r="D603" s="648" t="s">
        <v>257</v>
      </c>
      <c r="E603" s="602"/>
      <c r="F603" s="737">
        <v>500</v>
      </c>
      <c r="G603" s="741"/>
      <c r="H603" s="740">
        <f>IF(F603&lt;=30,(0.51*F603+4.28)*G603,((0.51*30+4.28)+0.42*(F603-30))*G603)</f>
        <v>0</v>
      </c>
      <c r="I603" s="387"/>
      <c r="J603" s="387" t="str">
        <f t="shared" ref="J603" si="196">IF(ISBLANK(I603),"",SUM(H603:I603))</f>
        <v/>
      </c>
      <c r="K603" s="606">
        <f t="shared" si="192"/>
        <v>0</v>
      </c>
      <c r="L603" s="607" t="s">
        <v>777</v>
      </c>
      <c r="M603" s="782"/>
      <c r="N603" s="430"/>
      <c r="O603" s="287">
        <f t="shared" si="161"/>
        <v>0</v>
      </c>
      <c r="P603" s="391">
        <f t="shared" si="162"/>
        <v>0</v>
      </c>
      <c r="Q603" s="288"/>
      <c r="R603" s="315" t="str">
        <f>IF(P601&gt;0,"xy","")</f>
        <v/>
      </c>
      <c r="S603" s="385" t="str">
        <f t="shared" si="175"/>
        <v/>
      </c>
    </row>
    <row r="604" spans="2:19" hidden="1">
      <c r="B604" s="609" t="s">
        <v>168</v>
      </c>
      <c r="C604" s="610"/>
      <c r="D604" s="648" t="s">
        <v>270</v>
      </c>
      <c r="E604" s="602"/>
      <c r="F604" s="737">
        <v>0.2</v>
      </c>
      <c r="G604" s="741">
        <v>2.12</v>
      </c>
      <c r="H604" s="740">
        <f>IF(F604=0,0,IF(F604&lt;=30,(0.7*F604+1.45)*G604,((0.7*30+1.45)+0.58*(F604-30))*G604))</f>
        <v>3.3708</v>
      </c>
      <c r="I604" s="387"/>
      <c r="J604" s="387"/>
      <c r="K604" s="606">
        <f t="shared" si="192"/>
        <v>0</v>
      </c>
      <c r="L604" s="607" t="s">
        <v>777</v>
      </c>
      <c r="M604" s="782"/>
      <c r="N604" s="430"/>
      <c r="O604" s="287">
        <f t="shared" si="161"/>
        <v>0</v>
      </c>
      <c r="P604" s="391">
        <f t="shared" si="162"/>
        <v>0</v>
      </c>
      <c r="Q604" s="288"/>
      <c r="R604" s="315" t="str">
        <f>IF(P601&gt;0,"xy","")</f>
        <v/>
      </c>
      <c r="S604" s="385" t="str">
        <f t="shared" si="175"/>
        <v/>
      </c>
    </row>
    <row r="605" spans="2:19" hidden="1">
      <c r="B605" s="609" t="s">
        <v>168</v>
      </c>
      <c r="C605" s="610"/>
      <c r="D605" s="648" t="s">
        <v>271</v>
      </c>
      <c r="E605" s="602"/>
      <c r="F605" s="737">
        <v>20</v>
      </c>
      <c r="G605" s="741">
        <f>SUM(G601:G604)</f>
        <v>2.2000000000000002</v>
      </c>
      <c r="H605" s="740">
        <f>IF(F605&lt;=30,(0.7*F605+2.91)*G605,((0.7*30+2.91)+0.58*(F605-30))*G605)</f>
        <v>37.202000000000005</v>
      </c>
      <c r="I605" s="387"/>
      <c r="J605" s="387"/>
      <c r="K605" s="606">
        <f t="shared" si="192"/>
        <v>0</v>
      </c>
      <c r="L605" s="607" t="s">
        <v>777</v>
      </c>
      <c r="M605" s="782"/>
      <c r="N605" s="786"/>
      <c r="O605" s="287">
        <f t="shared" si="161"/>
        <v>0</v>
      </c>
      <c r="P605" s="391">
        <f t="shared" si="162"/>
        <v>0</v>
      </c>
      <c r="Q605" s="288"/>
      <c r="R605" s="315" t="str">
        <f>IF(P601&gt;0,"xy","")</f>
        <v/>
      </c>
      <c r="S605" s="385" t="str">
        <f t="shared" si="175"/>
        <v/>
      </c>
    </row>
    <row r="606" spans="2:19" ht="13.5" hidden="1" thickBot="1">
      <c r="B606" s="633" t="s">
        <v>1873</v>
      </c>
      <c r="C606" s="715" t="s">
        <v>241</v>
      </c>
      <c r="D606" s="646" t="s">
        <v>1026</v>
      </c>
      <c r="E606" s="704"/>
      <c r="F606" s="742">
        <v>500</v>
      </c>
      <c r="G606" s="743">
        <v>1</v>
      </c>
      <c r="H606" s="744">
        <f>(0.52*F606+25.75)*G606</f>
        <v>285.75</v>
      </c>
      <c r="I606" s="733">
        <v>4206.5200000000004</v>
      </c>
      <c r="J606" s="733">
        <f>IF(ISBLANK(I606),"",I606*(1+$F$9)/(1+$F$10))+H606</f>
        <v>4281.8573391017726</v>
      </c>
      <c r="K606" s="658">
        <f t="shared" si="192"/>
        <v>5196.03</v>
      </c>
      <c r="L606" s="705" t="s">
        <v>20</v>
      </c>
      <c r="M606" s="777">
        <f>ROUND(M601*G601,2)</f>
        <v>0</v>
      </c>
      <c r="N606" s="783"/>
      <c r="O606" s="436">
        <f t="shared" si="161"/>
        <v>0</v>
      </c>
      <c r="P606" s="437">
        <f t="shared" si="162"/>
        <v>0</v>
      </c>
      <c r="Q606" s="288"/>
      <c r="S606" s="385" t="str">
        <f t="shared" si="175"/>
        <v/>
      </c>
    </row>
    <row r="607" spans="2:19" hidden="1">
      <c r="B607" s="632" t="s">
        <v>1866</v>
      </c>
      <c r="C607" s="714" t="s">
        <v>212</v>
      </c>
      <c r="D607" s="645" t="s">
        <v>840</v>
      </c>
      <c r="E607" s="701"/>
      <c r="F607" s="734" t="s">
        <v>830</v>
      </c>
      <c r="G607" s="735">
        <v>0.11</v>
      </c>
      <c r="H607" s="736">
        <f>SUM(H608:H611)</f>
        <v>40.525099999999995</v>
      </c>
      <c r="I607" s="732">
        <v>109.09</v>
      </c>
      <c r="J607" s="732">
        <f t="shared" ref="J607" si="197">IF(ISBLANK(I607),"",SUM(H607:I607))</f>
        <v>149.61509999999998</v>
      </c>
      <c r="K607" s="621">
        <f t="shared" si="192"/>
        <v>181.56</v>
      </c>
      <c r="L607" s="702" t="s">
        <v>16</v>
      </c>
      <c r="M607" s="780"/>
      <c r="N607" s="781"/>
      <c r="O607" s="434">
        <f t="shared" si="161"/>
        <v>0</v>
      </c>
      <c r="P607" s="435">
        <f t="shared" si="162"/>
        <v>0</v>
      </c>
      <c r="Q607" s="288"/>
      <c r="R607" s="243"/>
      <c r="S607" s="385" t="str">
        <f t="shared" si="175"/>
        <v/>
      </c>
    </row>
    <row r="608" spans="2:19" hidden="1">
      <c r="B608" s="609" t="s">
        <v>168</v>
      </c>
      <c r="C608" s="610"/>
      <c r="D608" s="648" t="s">
        <v>256</v>
      </c>
      <c r="E608" s="602"/>
      <c r="F608" s="737">
        <v>180</v>
      </c>
      <c r="G608" s="741"/>
      <c r="H608" s="739">
        <f t="shared" ref="H608" si="198">IF(F608&lt;=30,(0.7*F608+1.45)*G608,((0.7*30+1.45)+0.58*(F608-30))*G608)</f>
        <v>0</v>
      </c>
      <c r="I608" s="387"/>
      <c r="J608" s="387"/>
      <c r="K608" s="606">
        <f t="shared" si="192"/>
        <v>0</v>
      </c>
      <c r="L608" s="607" t="s">
        <v>777</v>
      </c>
      <c r="M608" s="782"/>
      <c r="N608" s="430"/>
      <c r="O608" s="287">
        <f t="shared" si="161"/>
        <v>0</v>
      </c>
      <c r="P608" s="391">
        <f t="shared" si="162"/>
        <v>0</v>
      </c>
      <c r="Q608" s="288"/>
      <c r="R608" s="315" t="str">
        <f>IF(P607&gt;0,"xy","")</f>
        <v/>
      </c>
      <c r="S608" s="385" t="str">
        <f t="shared" si="175"/>
        <v/>
      </c>
    </row>
    <row r="609" spans="2:19" hidden="1">
      <c r="B609" s="609" t="s">
        <v>168</v>
      </c>
      <c r="C609" s="610"/>
      <c r="D609" s="648" t="s">
        <v>257</v>
      </c>
      <c r="E609" s="602"/>
      <c r="F609" s="737">
        <v>500</v>
      </c>
      <c r="G609" s="741"/>
      <c r="H609" s="740">
        <f>IF(F609&lt;=30,(0.51*F609+4.28)*G609,((0.51*30+4.28)+0.42*(F609-30))*G609)</f>
        <v>0</v>
      </c>
      <c r="I609" s="387"/>
      <c r="J609" s="387" t="str">
        <f t="shared" ref="J609" si="199">IF(ISBLANK(I609),"",SUM(H609:I609))</f>
        <v/>
      </c>
      <c r="K609" s="606">
        <f t="shared" si="192"/>
        <v>0</v>
      </c>
      <c r="L609" s="607" t="s">
        <v>777</v>
      </c>
      <c r="M609" s="782"/>
      <c r="N609" s="430"/>
      <c r="O609" s="287">
        <f t="shared" si="161"/>
        <v>0</v>
      </c>
      <c r="P609" s="391">
        <f t="shared" si="162"/>
        <v>0</v>
      </c>
      <c r="Q609" s="288"/>
      <c r="R609" s="315" t="str">
        <f>IF(P607&gt;0,"xy","")</f>
        <v/>
      </c>
      <c r="S609" s="385" t="str">
        <f t="shared" si="175"/>
        <v/>
      </c>
    </row>
    <row r="610" spans="2:19" hidden="1">
      <c r="B610" s="609" t="s">
        <v>168</v>
      </c>
      <c r="C610" s="610"/>
      <c r="D610" s="648" t="s">
        <v>270</v>
      </c>
      <c r="E610" s="602"/>
      <c r="F610" s="737">
        <v>0.2</v>
      </c>
      <c r="G610" s="741">
        <v>2.09</v>
      </c>
      <c r="H610" s="740">
        <f>IF(F610=0,0,IF(F610&lt;=30,(0.7*F610+1.45)*G610,((0.7*30+1.45)+0.58*(F610-30))*G610))</f>
        <v>3.3230999999999993</v>
      </c>
      <c r="I610" s="387"/>
      <c r="J610" s="387"/>
      <c r="K610" s="606">
        <f t="shared" si="192"/>
        <v>0</v>
      </c>
      <c r="L610" s="607" t="s">
        <v>777</v>
      </c>
      <c r="M610" s="782"/>
      <c r="N610" s="430"/>
      <c r="O610" s="287">
        <f t="shared" si="161"/>
        <v>0</v>
      </c>
      <c r="P610" s="391">
        <f t="shared" si="162"/>
        <v>0</v>
      </c>
      <c r="Q610" s="288"/>
      <c r="R610" s="315" t="str">
        <f>IF(P607&gt;0,"xy","")</f>
        <v/>
      </c>
      <c r="S610" s="385" t="str">
        <f t="shared" si="175"/>
        <v/>
      </c>
    </row>
    <row r="611" spans="2:19" hidden="1">
      <c r="B611" s="609" t="s">
        <v>168</v>
      </c>
      <c r="C611" s="610"/>
      <c r="D611" s="648" t="s">
        <v>271</v>
      </c>
      <c r="E611" s="602"/>
      <c r="F611" s="737">
        <v>20</v>
      </c>
      <c r="G611" s="741">
        <f>SUM(G607:G610)</f>
        <v>2.1999999999999997</v>
      </c>
      <c r="H611" s="740">
        <f>IF(F611&lt;=30,(0.7*F611+2.91)*G611,((0.7*30+2.91)+0.58*(F611-30))*G611)</f>
        <v>37.201999999999998</v>
      </c>
      <c r="I611" s="387"/>
      <c r="J611" s="387"/>
      <c r="K611" s="606">
        <f t="shared" si="192"/>
        <v>0</v>
      </c>
      <c r="L611" s="607" t="s">
        <v>777</v>
      </c>
      <c r="M611" s="782"/>
      <c r="N611" s="786"/>
      <c r="O611" s="287">
        <f t="shared" si="161"/>
        <v>0</v>
      </c>
      <c r="P611" s="391">
        <f t="shared" si="162"/>
        <v>0</v>
      </c>
      <c r="Q611" s="288"/>
      <c r="R611" s="243" t="str">
        <f>IF(P607&gt;0,"xy","")</f>
        <v/>
      </c>
      <c r="S611" s="385" t="str">
        <f t="shared" si="175"/>
        <v/>
      </c>
    </row>
    <row r="612" spans="2:19" ht="13.5" hidden="1" thickBot="1">
      <c r="B612" s="633" t="s">
        <v>1874</v>
      </c>
      <c r="C612" s="715" t="s">
        <v>241</v>
      </c>
      <c r="D612" s="646" t="s">
        <v>1027</v>
      </c>
      <c r="E612" s="704"/>
      <c r="F612" s="742">
        <v>500</v>
      </c>
      <c r="G612" s="743">
        <v>1</v>
      </c>
      <c r="H612" s="744">
        <f>(0.52*F612+25.75)*G612</f>
        <v>285.75</v>
      </c>
      <c r="I612" s="733">
        <v>4206.5200000000004</v>
      </c>
      <c r="J612" s="733">
        <f>IF(ISBLANK(I612),"",I612*(1+$F$9)/(1+$F$10))+H612</f>
        <v>4281.8573391017726</v>
      </c>
      <c r="K612" s="658">
        <f t="shared" si="192"/>
        <v>5196.03</v>
      </c>
      <c r="L612" s="705" t="s">
        <v>20</v>
      </c>
      <c r="M612" s="777">
        <f>ROUND(M607*G607,2)</f>
        <v>0</v>
      </c>
      <c r="N612" s="783"/>
      <c r="O612" s="436">
        <f t="shared" si="161"/>
        <v>0</v>
      </c>
      <c r="P612" s="437">
        <f t="shared" si="162"/>
        <v>0</v>
      </c>
      <c r="Q612" s="288"/>
      <c r="R612" s="315" t="str">
        <f>IF(P423&gt;0,"xy","")</f>
        <v/>
      </c>
      <c r="S612" s="385" t="str">
        <f t="shared" si="175"/>
        <v/>
      </c>
    </row>
    <row r="613" spans="2:19" hidden="1">
      <c r="B613" s="632" t="s">
        <v>1867</v>
      </c>
      <c r="C613" s="714" t="s">
        <v>212</v>
      </c>
      <c r="D613" s="645" t="s">
        <v>841</v>
      </c>
      <c r="E613" s="701"/>
      <c r="F613" s="734" t="s">
        <v>830</v>
      </c>
      <c r="G613" s="735">
        <v>0.11</v>
      </c>
      <c r="H613" s="736">
        <f>SUM(H614:H617)</f>
        <v>40.525099999999995</v>
      </c>
      <c r="I613" s="732">
        <v>109.09</v>
      </c>
      <c r="J613" s="732">
        <f t="shared" ref="J613" si="200">IF(ISBLANK(I613),"",SUM(H613:I613))</f>
        <v>149.61509999999998</v>
      </c>
      <c r="K613" s="621">
        <f t="shared" si="192"/>
        <v>181.56</v>
      </c>
      <c r="L613" s="702" t="s">
        <v>16</v>
      </c>
      <c r="M613" s="780"/>
      <c r="N613" s="781"/>
      <c r="O613" s="434">
        <f t="shared" si="161"/>
        <v>0</v>
      </c>
      <c r="P613" s="435">
        <f t="shared" si="162"/>
        <v>0</v>
      </c>
      <c r="Q613" s="288"/>
      <c r="R613" s="243"/>
      <c r="S613" s="385" t="str">
        <f t="shared" si="175"/>
        <v/>
      </c>
    </row>
    <row r="614" spans="2:19" hidden="1">
      <c r="B614" s="609" t="s">
        <v>168</v>
      </c>
      <c r="C614" s="610"/>
      <c r="D614" s="648" t="s">
        <v>256</v>
      </c>
      <c r="E614" s="602"/>
      <c r="F614" s="737">
        <v>180</v>
      </c>
      <c r="G614" s="741"/>
      <c r="H614" s="739">
        <f t="shared" ref="H614" si="201">IF(F614&lt;=30,(0.7*F614+1.45)*G614,((0.7*30+1.45)+0.58*(F614-30))*G614)</f>
        <v>0</v>
      </c>
      <c r="I614" s="387"/>
      <c r="J614" s="387"/>
      <c r="K614" s="606">
        <f t="shared" si="192"/>
        <v>0</v>
      </c>
      <c r="L614" s="607" t="s">
        <v>777</v>
      </c>
      <c r="M614" s="782"/>
      <c r="N614" s="430"/>
      <c r="O614" s="287">
        <f t="shared" si="161"/>
        <v>0</v>
      </c>
      <c r="P614" s="391">
        <f t="shared" si="162"/>
        <v>0</v>
      </c>
      <c r="Q614" s="288"/>
      <c r="R614" s="315" t="str">
        <f>IF(P613&gt;0,"xy","")</f>
        <v/>
      </c>
      <c r="S614" s="385" t="str">
        <f t="shared" si="175"/>
        <v/>
      </c>
    </row>
    <row r="615" spans="2:19" hidden="1">
      <c r="B615" s="609" t="s">
        <v>168</v>
      </c>
      <c r="C615" s="610"/>
      <c r="D615" s="648" t="s">
        <v>257</v>
      </c>
      <c r="E615" s="602"/>
      <c r="F615" s="737">
        <v>500</v>
      </c>
      <c r="G615" s="741"/>
      <c r="H615" s="740">
        <f>IF(F615&lt;=30,(0.51*F615+4.28)*G615,((0.51*30+4.28)+0.42*(F615-30))*G615)</f>
        <v>0</v>
      </c>
      <c r="I615" s="387"/>
      <c r="J615" s="387" t="str">
        <f t="shared" ref="J615" si="202">IF(ISBLANK(I615),"",SUM(H615:I615))</f>
        <v/>
      </c>
      <c r="K615" s="606">
        <f t="shared" si="192"/>
        <v>0</v>
      </c>
      <c r="L615" s="607" t="s">
        <v>777</v>
      </c>
      <c r="M615" s="782"/>
      <c r="N615" s="430"/>
      <c r="O615" s="287">
        <f t="shared" si="161"/>
        <v>0</v>
      </c>
      <c r="P615" s="391">
        <f t="shared" si="162"/>
        <v>0</v>
      </c>
      <c r="Q615" s="288"/>
      <c r="R615" s="315" t="str">
        <f>IF(P613&gt;0,"xy","")</f>
        <v/>
      </c>
      <c r="S615" s="385" t="str">
        <f t="shared" si="175"/>
        <v/>
      </c>
    </row>
    <row r="616" spans="2:19" hidden="1">
      <c r="B616" s="609" t="s">
        <v>168</v>
      </c>
      <c r="C616" s="610"/>
      <c r="D616" s="648" t="s">
        <v>270</v>
      </c>
      <c r="E616" s="602"/>
      <c r="F616" s="737">
        <v>0.2</v>
      </c>
      <c r="G616" s="741">
        <v>2.09</v>
      </c>
      <c r="H616" s="740">
        <f>IF(F616=0,0,IF(F616&lt;=30,(0.7*F616+1.45)*G616,((0.7*30+1.45)+0.58*(F616-30))*G616))</f>
        <v>3.3230999999999993</v>
      </c>
      <c r="I616" s="387"/>
      <c r="J616" s="387"/>
      <c r="K616" s="606">
        <f t="shared" si="192"/>
        <v>0</v>
      </c>
      <c r="L616" s="607" t="s">
        <v>777</v>
      </c>
      <c r="M616" s="782"/>
      <c r="N616" s="430"/>
      <c r="O616" s="287">
        <f t="shared" si="161"/>
        <v>0</v>
      </c>
      <c r="P616" s="391">
        <f t="shared" si="162"/>
        <v>0</v>
      </c>
      <c r="Q616" s="288"/>
      <c r="R616" s="315" t="str">
        <f>IF(P613&gt;0,"xy","")</f>
        <v/>
      </c>
      <c r="S616" s="385" t="str">
        <f t="shared" si="175"/>
        <v/>
      </c>
    </row>
    <row r="617" spans="2:19" hidden="1">
      <c r="B617" s="609" t="s">
        <v>168</v>
      </c>
      <c r="C617" s="610"/>
      <c r="D617" s="648" t="s">
        <v>271</v>
      </c>
      <c r="E617" s="602"/>
      <c r="F617" s="737">
        <v>20</v>
      </c>
      <c r="G617" s="741">
        <f>SUM(G613:G616)</f>
        <v>2.1999999999999997</v>
      </c>
      <c r="H617" s="740">
        <f>IF(F617&lt;=30,(0.7*F617+2.91)*G617,((0.7*30+2.91)+0.58*(F617-30))*G617)</f>
        <v>37.201999999999998</v>
      </c>
      <c r="I617" s="387"/>
      <c r="J617" s="387"/>
      <c r="K617" s="606">
        <f t="shared" si="192"/>
        <v>0</v>
      </c>
      <c r="L617" s="607" t="s">
        <v>777</v>
      </c>
      <c r="M617" s="782"/>
      <c r="N617" s="786"/>
      <c r="O617" s="287">
        <f t="shared" si="161"/>
        <v>0</v>
      </c>
      <c r="P617" s="391">
        <f t="shared" si="162"/>
        <v>0</v>
      </c>
      <c r="Q617" s="288"/>
      <c r="R617" s="243" t="str">
        <f>IF(P613&gt;0,"xy","")</f>
        <v/>
      </c>
      <c r="S617" s="385" t="str">
        <f t="shared" si="175"/>
        <v/>
      </c>
    </row>
    <row r="618" spans="2:19" ht="13.5" hidden="1" thickBot="1">
      <c r="B618" s="633" t="s">
        <v>1875</v>
      </c>
      <c r="C618" s="715" t="s">
        <v>241</v>
      </c>
      <c r="D618" s="646" t="s">
        <v>1027</v>
      </c>
      <c r="E618" s="704"/>
      <c r="F618" s="742">
        <v>500</v>
      </c>
      <c r="G618" s="743">
        <v>1</v>
      </c>
      <c r="H618" s="744">
        <f>(0.52*F618+25.75)*G618</f>
        <v>285.75</v>
      </c>
      <c r="I618" s="733">
        <v>4206.5200000000004</v>
      </c>
      <c r="J618" s="733">
        <f>IF(ISBLANK(I618),"",I618*(1+$F$9)/(1+$F$10))+H618</f>
        <v>4281.8573391017726</v>
      </c>
      <c r="K618" s="658">
        <f t="shared" si="192"/>
        <v>5196.03</v>
      </c>
      <c r="L618" s="705" t="s">
        <v>20</v>
      </c>
      <c r="M618" s="777">
        <f>ROUND(M613*G613,2)</f>
        <v>0</v>
      </c>
      <c r="N618" s="783"/>
      <c r="O618" s="436">
        <f t="shared" si="161"/>
        <v>0</v>
      </c>
      <c r="P618" s="437">
        <f t="shared" si="162"/>
        <v>0</v>
      </c>
      <c r="Q618" s="288"/>
      <c r="R618" s="315" t="str">
        <f>IF(P429&gt;0,"xy","")</f>
        <v/>
      </c>
      <c r="S618" s="385" t="str">
        <f t="shared" si="175"/>
        <v/>
      </c>
    </row>
    <row r="619" spans="2:19" hidden="1">
      <c r="B619" s="632" t="s">
        <v>1868</v>
      </c>
      <c r="C619" s="714" t="s">
        <v>212</v>
      </c>
      <c r="D619" s="645" t="s">
        <v>840</v>
      </c>
      <c r="E619" s="701"/>
      <c r="F619" s="734" t="s">
        <v>830</v>
      </c>
      <c r="G619" s="735">
        <v>0.14000000000000001</v>
      </c>
      <c r="H619" s="736">
        <f>SUM(H620:H623)</f>
        <v>71.449600000000004</v>
      </c>
      <c r="I619" s="732">
        <v>109.09</v>
      </c>
      <c r="J619" s="732">
        <f t="shared" ref="J619" si="203">IF(ISBLANK(I619),"",SUM(H619:I619))</f>
        <v>180.53960000000001</v>
      </c>
      <c r="K619" s="621">
        <f t="shared" si="192"/>
        <v>219.08</v>
      </c>
      <c r="L619" s="702" t="s">
        <v>16</v>
      </c>
      <c r="M619" s="780"/>
      <c r="N619" s="781"/>
      <c r="O619" s="434">
        <f t="shared" si="161"/>
        <v>0</v>
      </c>
      <c r="P619" s="435">
        <f t="shared" si="162"/>
        <v>0</v>
      </c>
      <c r="Q619" s="288"/>
      <c r="R619" s="243"/>
      <c r="S619" s="385" t="str">
        <f t="shared" si="175"/>
        <v/>
      </c>
    </row>
    <row r="620" spans="2:19" hidden="1">
      <c r="B620" s="609" t="s">
        <v>168</v>
      </c>
      <c r="C620" s="610"/>
      <c r="D620" s="648" t="s">
        <v>256</v>
      </c>
      <c r="E620" s="602"/>
      <c r="F620" s="737">
        <v>180</v>
      </c>
      <c r="G620" s="741">
        <v>0.27</v>
      </c>
      <c r="H620" s="739">
        <f t="shared" ref="H620" si="204">IF(F620&lt;=30,(0.7*F620+1.45)*G620,((0.7*30+1.45)+0.58*(F620-30))*G620)</f>
        <v>29.551500000000004</v>
      </c>
      <c r="I620" s="387"/>
      <c r="J620" s="387"/>
      <c r="K620" s="606">
        <f t="shared" si="192"/>
        <v>0</v>
      </c>
      <c r="L620" s="607" t="s">
        <v>777</v>
      </c>
      <c r="M620" s="782"/>
      <c r="N620" s="430"/>
      <c r="O620" s="287">
        <f t="shared" si="161"/>
        <v>0</v>
      </c>
      <c r="P620" s="391">
        <f t="shared" si="162"/>
        <v>0</v>
      </c>
      <c r="Q620" s="288"/>
      <c r="R620" s="315" t="str">
        <f>IF(P619&gt;0,"xy","")</f>
        <v/>
      </c>
      <c r="S620" s="385" t="str">
        <f t="shared" si="175"/>
        <v/>
      </c>
    </row>
    <row r="621" spans="2:19" hidden="1">
      <c r="B621" s="609" t="s">
        <v>168</v>
      </c>
      <c r="C621" s="610"/>
      <c r="D621" s="648" t="s">
        <v>257</v>
      </c>
      <c r="E621" s="602"/>
      <c r="F621" s="737">
        <v>500</v>
      </c>
      <c r="G621" s="741"/>
      <c r="H621" s="740">
        <f>IF(F621&lt;=30,(0.51*F621+4.28)*G621,((0.51*30+4.28)+0.42*(F621-30))*G621)</f>
        <v>0</v>
      </c>
      <c r="I621" s="387"/>
      <c r="J621" s="387" t="str">
        <f t="shared" ref="J621" si="205">IF(ISBLANK(I621),"",SUM(H621:I621))</f>
        <v/>
      </c>
      <c r="K621" s="606">
        <f t="shared" si="192"/>
        <v>0</v>
      </c>
      <c r="L621" s="607" t="s">
        <v>777</v>
      </c>
      <c r="M621" s="782"/>
      <c r="N621" s="430"/>
      <c r="O621" s="287">
        <f t="shared" si="161"/>
        <v>0</v>
      </c>
      <c r="P621" s="391">
        <f t="shared" si="162"/>
        <v>0</v>
      </c>
      <c r="Q621" s="288"/>
      <c r="R621" s="315" t="str">
        <f>IF(P619&gt;0,"xy","")</f>
        <v/>
      </c>
      <c r="S621" s="385" t="str">
        <f t="shared" si="175"/>
        <v/>
      </c>
    </row>
    <row r="622" spans="2:19" hidden="1">
      <c r="B622" s="609" t="s">
        <v>168</v>
      </c>
      <c r="C622" s="610"/>
      <c r="D622" s="648" t="s">
        <v>270</v>
      </c>
      <c r="E622" s="602"/>
      <c r="F622" s="737">
        <v>0.2</v>
      </c>
      <c r="G622" s="741">
        <v>1.89</v>
      </c>
      <c r="H622" s="740">
        <f>IF(F622=0,0,IF(F622&lt;=30,(0.7*F622+1.45)*G622,((0.7*30+1.45)+0.58*(F622-30))*G622))</f>
        <v>3.0050999999999997</v>
      </c>
      <c r="I622" s="387"/>
      <c r="J622" s="387"/>
      <c r="K622" s="606">
        <f t="shared" si="192"/>
        <v>0</v>
      </c>
      <c r="L622" s="607" t="s">
        <v>777</v>
      </c>
      <c r="M622" s="782"/>
      <c r="N622" s="430"/>
      <c r="O622" s="287">
        <f t="shared" si="161"/>
        <v>0</v>
      </c>
      <c r="P622" s="391">
        <f t="shared" si="162"/>
        <v>0</v>
      </c>
      <c r="Q622" s="288"/>
      <c r="R622" s="315" t="str">
        <f>IF(P619&gt;0,"xy","")</f>
        <v/>
      </c>
      <c r="S622" s="385" t="str">
        <f t="shared" si="175"/>
        <v/>
      </c>
    </row>
    <row r="623" spans="2:19" hidden="1">
      <c r="B623" s="609" t="s">
        <v>168</v>
      </c>
      <c r="C623" s="610"/>
      <c r="D623" s="648" t="s">
        <v>271</v>
      </c>
      <c r="E623" s="602"/>
      <c r="F623" s="737">
        <v>20</v>
      </c>
      <c r="G623" s="741">
        <f>SUM(G619:G622)</f>
        <v>2.2999999999999998</v>
      </c>
      <c r="H623" s="740">
        <f>IF(F623&lt;=30,(0.7*F623+2.91)*G623,((0.7*30+2.91)+0.58*(F623-30))*G623)</f>
        <v>38.893000000000001</v>
      </c>
      <c r="I623" s="387"/>
      <c r="J623" s="387"/>
      <c r="K623" s="606">
        <f t="shared" si="192"/>
        <v>0</v>
      </c>
      <c r="L623" s="607" t="s">
        <v>777</v>
      </c>
      <c r="M623" s="782"/>
      <c r="N623" s="786"/>
      <c r="O623" s="287">
        <f t="shared" si="161"/>
        <v>0</v>
      </c>
      <c r="P623" s="391">
        <f t="shared" si="162"/>
        <v>0</v>
      </c>
      <c r="Q623" s="288"/>
      <c r="R623" s="315" t="str">
        <f>IF(P619&gt;0,"xy","")</f>
        <v/>
      </c>
      <c r="S623" s="385" t="str">
        <f t="shared" si="175"/>
        <v/>
      </c>
    </row>
    <row r="624" spans="2:19" ht="13.5" hidden="1" thickBot="1">
      <c r="B624" s="633" t="s">
        <v>1876</v>
      </c>
      <c r="C624" s="715" t="s">
        <v>241</v>
      </c>
      <c r="D624" s="646" t="s">
        <v>1027</v>
      </c>
      <c r="E624" s="704"/>
      <c r="F624" s="742">
        <v>500</v>
      </c>
      <c r="G624" s="743">
        <v>1</v>
      </c>
      <c r="H624" s="744">
        <f>(0.52*F624+25.75)*G624</f>
        <v>285.75</v>
      </c>
      <c r="I624" s="733">
        <v>4206.5200000000004</v>
      </c>
      <c r="J624" s="733">
        <f>IF(ISBLANK(I624),"",I624*(1+$F$9)/(1+$F$10))+H624</f>
        <v>4281.8573391017726</v>
      </c>
      <c r="K624" s="658">
        <f t="shared" si="192"/>
        <v>5196.03</v>
      </c>
      <c r="L624" s="705" t="s">
        <v>20</v>
      </c>
      <c r="M624" s="777">
        <f>ROUND(M619*G619,2)</f>
        <v>0</v>
      </c>
      <c r="N624" s="783"/>
      <c r="O624" s="436">
        <f t="shared" si="161"/>
        <v>0</v>
      </c>
      <c r="P624" s="437">
        <f t="shared" si="162"/>
        <v>0</v>
      </c>
      <c r="Q624" s="288"/>
      <c r="S624" s="385" t="str">
        <f t="shared" si="175"/>
        <v/>
      </c>
    </row>
    <row r="625" spans="2:19" hidden="1">
      <c r="B625" s="632" t="s">
        <v>1974</v>
      </c>
      <c r="C625" s="714" t="s">
        <v>212</v>
      </c>
      <c r="D625" s="645" t="s">
        <v>841</v>
      </c>
      <c r="E625" s="701"/>
      <c r="F625" s="734" t="s">
        <v>830</v>
      </c>
      <c r="G625" s="735">
        <v>0.14000000000000001</v>
      </c>
      <c r="H625" s="736">
        <f>SUM(H626:H629)</f>
        <v>71.449600000000004</v>
      </c>
      <c r="I625" s="732">
        <v>109.09</v>
      </c>
      <c r="J625" s="732">
        <f t="shared" ref="J625" si="206">IF(ISBLANK(I625),"",SUM(H625:I625))</f>
        <v>180.53960000000001</v>
      </c>
      <c r="K625" s="621">
        <f t="shared" si="192"/>
        <v>219.08</v>
      </c>
      <c r="L625" s="702" t="s">
        <v>16</v>
      </c>
      <c r="M625" s="780"/>
      <c r="N625" s="781"/>
      <c r="O625" s="434">
        <f t="shared" si="161"/>
        <v>0</v>
      </c>
      <c r="P625" s="435">
        <f t="shared" si="162"/>
        <v>0</v>
      </c>
      <c r="Q625" s="288"/>
      <c r="R625" s="243"/>
      <c r="S625" s="385" t="str">
        <f t="shared" si="175"/>
        <v/>
      </c>
    </row>
    <row r="626" spans="2:19" hidden="1">
      <c r="B626" s="609" t="s">
        <v>168</v>
      </c>
      <c r="C626" s="610"/>
      <c r="D626" s="648" t="s">
        <v>256</v>
      </c>
      <c r="E626" s="602"/>
      <c r="F626" s="737">
        <v>180</v>
      </c>
      <c r="G626" s="741">
        <v>0.27</v>
      </c>
      <c r="H626" s="739">
        <f t="shared" ref="H626" si="207">IF(F626&lt;=30,(0.7*F626+1.45)*G626,((0.7*30+1.45)+0.58*(F626-30))*G626)</f>
        <v>29.551500000000004</v>
      </c>
      <c r="I626" s="387"/>
      <c r="J626" s="387"/>
      <c r="K626" s="606">
        <f t="shared" si="192"/>
        <v>0</v>
      </c>
      <c r="L626" s="607" t="s">
        <v>777</v>
      </c>
      <c r="M626" s="782"/>
      <c r="N626" s="430"/>
      <c r="O626" s="287">
        <f t="shared" si="161"/>
        <v>0</v>
      </c>
      <c r="P626" s="391">
        <f t="shared" si="162"/>
        <v>0</v>
      </c>
      <c r="Q626" s="288"/>
      <c r="R626" s="315" t="str">
        <f>IF(P625&gt;0,"xy","")</f>
        <v/>
      </c>
      <c r="S626" s="385" t="str">
        <f t="shared" si="175"/>
        <v/>
      </c>
    </row>
    <row r="627" spans="2:19" hidden="1">
      <c r="B627" s="609" t="s">
        <v>168</v>
      </c>
      <c r="C627" s="610"/>
      <c r="D627" s="648" t="s">
        <v>257</v>
      </c>
      <c r="E627" s="602"/>
      <c r="F627" s="737">
        <v>500</v>
      </c>
      <c r="G627" s="741"/>
      <c r="H627" s="740">
        <f>IF(F627&lt;=30,(0.51*F627+4.28)*G627,((0.51*30+4.28)+0.42*(F627-30))*G627)</f>
        <v>0</v>
      </c>
      <c r="I627" s="387"/>
      <c r="J627" s="387" t="str">
        <f t="shared" ref="J627" si="208">IF(ISBLANK(I627),"",SUM(H627:I627))</f>
        <v/>
      </c>
      <c r="K627" s="606">
        <f t="shared" si="192"/>
        <v>0</v>
      </c>
      <c r="L627" s="607" t="s">
        <v>777</v>
      </c>
      <c r="M627" s="782"/>
      <c r="N627" s="430"/>
      <c r="O627" s="287">
        <f t="shared" si="161"/>
        <v>0</v>
      </c>
      <c r="P627" s="391">
        <f t="shared" si="162"/>
        <v>0</v>
      </c>
      <c r="Q627" s="288"/>
      <c r="R627" s="315" t="str">
        <f>IF(P625&gt;0,"xy","")</f>
        <v/>
      </c>
      <c r="S627" s="385" t="str">
        <f t="shared" si="175"/>
        <v/>
      </c>
    </row>
    <row r="628" spans="2:19" hidden="1">
      <c r="B628" s="609" t="s">
        <v>168</v>
      </c>
      <c r="C628" s="610"/>
      <c r="D628" s="648" t="s">
        <v>270</v>
      </c>
      <c r="E628" s="602"/>
      <c r="F628" s="737">
        <v>0.2</v>
      </c>
      <c r="G628" s="741">
        <v>1.89</v>
      </c>
      <c r="H628" s="740">
        <f>IF(F628=0,0,IF(F628&lt;=30,(0.7*F628+1.45)*G628,((0.7*30+1.45)+0.58*(F628-30))*G628))</f>
        <v>3.0050999999999997</v>
      </c>
      <c r="I628" s="387"/>
      <c r="J628" s="387"/>
      <c r="K628" s="606">
        <f t="shared" si="192"/>
        <v>0</v>
      </c>
      <c r="L628" s="607" t="s">
        <v>777</v>
      </c>
      <c r="M628" s="782"/>
      <c r="N628" s="430"/>
      <c r="O628" s="287">
        <f t="shared" si="161"/>
        <v>0</v>
      </c>
      <c r="P628" s="391">
        <f t="shared" si="162"/>
        <v>0</v>
      </c>
      <c r="Q628" s="288"/>
      <c r="R628" s="315" t="str">
        <f>IF(P625&gt;0,"xy","")</f>
        <v/>
      </c>
      <c r="S628" s="385" t="str">
        <f t="shared" si="175"/>
        <v/>
      </c>
    </row>
    <row r="629" spans="2:19" hidden="1">
      <c r="B629" s="609" t="s">
        <v>168</v>
      </c>
      <c r="C629" s="610"/>
      <c r="D629" s="648" t="s">
        <v>271</v>
      </c>
      <c r="E629" s="602"/>
      <c r="F629" s="737">
        <v>20</v>
      </c>
      <c r="G629" s="741">
        <f>SUM(G625:G628)</f>
        <v>2.2999999999999998</v>
      </c>
      <c r="H629" s="740">
        <f>IF(F629&lt;=30,(0.7*F629+2.91)*G629,((0.7*30+2.91)+0.58*(F629-30))*G629)</f>
        <v>38.893000000000001</v>
      </c>
      <c r="I629" s="387"/>
      <c r="J629" s="387"/>
      <c r="K629" s="606">
        <f t="shared" si="192"/>
        <v>0</v>
      </c>
      <c r="L629" s="607" t="s">
        <v>777</v>
      </c>
      <c r="M629" s="782"/>
      <c r="N629" s="786"/>
      <c r="O629" s="287">
        <f t="shared" si="161"/>
        <v>0</v>
      </c>
      <c r="P629" s="391">
        <f t="shared" si="162"/>
        <v>0</v>
      </c>
      <c r="Q629" s="288"/>
      <c r="R629" s="315" t="str">
        <f>IF(P625&gt;0,"xy","")</f>
        <v/>
      </c>
      <c r="S629" s="385" t="str">
        <f t="shared" si="175"/>
        <v/>
      </c>
    </row>
    <row r="630" spans="2:19" ht="13.5" hidden="1" thickBot="1">
      <c r="B630" s="633" t="s">
        <v>1877</v>
      </c>
      <c r="C630" s="715" t="s">
        <v>241</v>
      </c>
      <c r="D630" s="646" t="s">
        <v>1027</v>
      </c>
      <c r="E630" s="704"/>
      <c r="F630" s="742">
        <v>500</v>
      </c>
      <c r="G630" s="743">
        <v>1</v>
      </c>
      <c r="H630" s="744">
        <f>(0.52*F630+25.75)*G630</f>
        <v>285.75</v>
      </c>
      <c r="I630" s="733">
        <v>4206.5200000000004</v>
      </c>
      <c r="J630" s="733">
        <f>IF(ISBLANK(I630),"",I630*(1+$F$9)/(1+$F$10))+H630</f>
        <v>4281.8573391017726</v>
      </c>
      <c r="K630" s="658">
        <f t="shared" si="192"/>
        <v>5196.03</v>
      </c>
      <c r="L630" s="705" t="s">
        <v>20</v>
      </c>
      <c r="M630" s="777">
        <f>ROUND(M625*G625,2)</f>
        <v>0</v>
      </c>
      <c r="N630" s="783"/>
      <c r="O630" s="436">
        <f t="shared" si="161"/>
        <v>0</v>
      </c>
      <c r="P630" s="437">
        <f t="shared" si="162"/>
        <v>0</v>
      </c>
      <c r="Q630" s="288"/>
      <c r="S630" s="385" t="str">
        <f t="shared" si="175"/>
        <v/>
      </c>
    </row>
    <row r="631" spans="2:19" hidden="1">
      <c r="B631" s="632" t="s">
        <v>1975</v>
      </c>
      <c r="C631" s="714" t="s">
        <v>212</v>
      </c>
      <c r="D631" s="645" t="s">
        <v>1028</v>
      </c>
      <c r="E631" s="701"/>
      <c r="F631" s="734" t="s">
        <v>830</v>
      </c>
      <c r="G631" s="735">
        <v>0.18240000000000001</v>
      </c>
      <c r="H631" s="736">
        <f>SUM(H632:H635)</f>
        <v>123.92649</v>
      </c>
      <c r="I631" s="732">
        <v>109.09</v>
      </c>
      <c r="J631" s="732">
        <f t="shared" ref="J631" si="209">IF(ISBLANK(I631),"",SUM(H631:I631))</f>
        <v>233.01649</v>
      </c>
      <c r="K631" s="621">
        <f t="shared" si="192"/>
        <v>282.77</v>
      </c>
      <c r="L631" s="702" t="s">
        <v>20</v>
      </c>
      <c r="M631" s="780"/>
      <c r="N631" s="781"/>
      <c r="O631" s="434">
        <f t="shared" si="161"/>
        <v>0</v>
      </c>
      <c r="P631" s="435">
        <f t="shared" si="162"/>
        <v>0</v>
      </c>
      <c r="Q631" s="288"/>
      <c r="R631" s="243"/>
      <c r="S631" s="385" t="str">
        <f t="shared" si="175"/>
        <v/>
      </c>
    </row>
    <row r="632" spans="2:19" hidden="1">
      <c r="B632" s="609" t="s">
        <v>168</v>
      </c>
      <c r="C632" s="610"/>
      <c r="D632" s="648" t="s">
        <v>256</v>
      </c>
      <c r="E632" s="602"/>
      <c r="F632" s="737">
        <v>180</v>
      </c>
      <c r="G632" s="741">
        <v>0.56969999999999998</v>
      </c>
      <c r="H632" s="739">
        <f t="shared" ref="H632" si="210">IF(F632&lt;=30,(0.7*F632+1.45)*G632,((0.7*30+1.45)+0.58*(F632-30))*G632)</f>
        <v>62.353664999999999</v>
      </c>
      <c r="I632" s="387"/>
      <c r="J632" s="387"/>
      <c r="K632" s="606">
        <f t="shared" si="192"/>
        <v>0</v>
      </c>
      <c r="L632" s="607" t="s">
        <v>777</v>
      </c>
      <c r="M632" s="782"/>
      <c r="N632" s="430"/>
      <c r="O632" s="287">
        <f t="shared" si="161"/>
        <v>0</v>
      </c>
      <c r="P632" s="391">
        <f t="shared" si="162"/>
        <v>0</v>
      </c>
      <c r="Q632" s="288"/>
      <c r="R632" s="315" t="str">
        <f>IF(P631&gt;0,"xy","")</f>
        <v/>
      </c>
      <c r="S632" s="385" t="str">
        <f t="shared" si="175"/>
        <v/>
      </c>
    </row>
    <row r="633" spans="2:19" hidden="1">
      <c r="B633" s="609" t="s">
        <v>168</v>
      </c>
      <c r="C633" s="610"/>
      <c r="D633" s="648" t="s">
        <v>257</v>
      </c>
      <c r="E633" s="602"/>
      <c r="F633" s="737">
        <v>500</v>
      </c>
      <c r="G633" s="741">
        <v>8.7599999999999997E-2</v>
      </c>
      <c r="H633" s="740">
        <f>IF(F633&lt;=30,(0.51*F633+4.28)*G633,((0.51*30+4.28)+0.42*(F633-30))*G633)</f>
        <v>19.007448</v>
      </c>
      <c r="I633" s="387"/>
      <c r="J633" s="387"/>
      <c r="K633" s="606">
        <f t="shared" si="192"/>
        <v>0</v>
      </c>
      <c r="L633" s="607" t="s">
        <v>777</v>
      </c>
      <c r="M633" s="782"/>
      <c r="N633" s="430"/>
      <c r="O633" s="287">
        <f t="shared" si="161"/>
        <v>0</v>
      </c>
      <c r="P633" s="391">
        <f t="shared" si="162"/>
        <v>0</v>
      </c>
      <c r="Q633" s="288"/>
      <c r="R633" s="315" t="str">
        <f>IF(P631&gt;0,"xy","")</f>
        <v/>
      </c>
      <c r="S633" s="385" t="str">
        <f t="shared" si="175"/>
        <v/>
      </c>
    </row>
    <row r="634" spans="2:19" hidden="1">
      <c r="B634" s="609" t="s">
        <v>168</v>
      </c>
      <c r="C634" s="610"/>
      <c r="D634" s="648" t="s">
        <v>270</v>
      </c>
      <c r="E634" s="602"/>
      <c r="F634" s="737">
        <v>0.2</v>
      </c>
      <c r="G634" s="741">
        <v>1.5333000000000001</v>
      </c>
      <c r="H634" s="740">
        <f>IF(F634=0,0,IF(F634&lt;=30,(0.7*F634+1.45)*G634,((0.7*30+1.45)+0.58*(F634-30))*G634))</f>
        <v>2.4379469999999999</v>
      </c>
      <c r="I634" s="387"/>
      <c r="J634" s="387"/>
      <c r="K634" s="606">
        <f t="shared" si="192"/>
        <v>0</v>
      </c>
      <c r="L634" s="607" t="s">
        <v>777</v>
      </c>
      <c r="M634" s="782"/>
      <c r="N634" s="430"/>
      <c r="O634" s="287">
        <f t="shared" si="161"/>
        <v>0</v>
      </c>
      <c r="P634" s="391">
        <f t="shared" si="162"/>
        <v>0</v>
      </c>
      <c r="Q634" s="288"/>
      <c r="R634" s="315" t="str">
        <f>IF(P631&gt;0,"xy","")</f>
        <v/>
      </c>
      <c r="S634" s="385" t="str">
        <f t="shared" si="175"/>
        <v/>
      </c>
    </row>
    <row r="635" spans="2:19" hidden="1">
      <c r="B635" s="609" t="s">
        <v>168</v>
      </c>
      <c r="C635" s="610"/>
      <c r="D635" s="648" t="s">
        <v>271</v>
      </c>
      <c r="E635" s="602"/>
      <c r="F635" s="737">
        <v>20</v>
      </c>
      <c r="G635" s="741">
        <f>SUM(G631:G634)</f>
        <v>2.3730000000000002</v>
      </c>
      <c r="H635" s="740">
        <f>IF(F635&lt;=30,(0.7*F635+2.91)*G635,((0.7*30+2.91)+0.58*(F635-30))*G635)</f>
        <v>40.127430000000004</v>
      </c>
      <c r="I635" s="387"/>
      <c r="J635" s="387"/>
      <c r="K635" s="606">
        <f t="shared" si="192"/>
        <v>0</v>
      </c>
      <c r="L635" s="607" t="s">
        <v>777</v>
      </c>
      <c r="M635" s="782"/>
      <c r="N635" s="786"/>
      <c r="O635" s="287">
        <f t="shared" si="161"/>
        <v>0</v>
      </c>
      <c r="P635" s="391">
        <f t="shared" si="162"/>
        <v>0</v>
      </c>
      <c r="Q635" s="288"/>
      <c r="R635" s="315" t="str">
        <f>IF(P631&gt;0,"xy","")</f>
        <v/>
      </c>
      <c r="S635" s="385" t="str">
        <f t="shared" si="175"/>
        <v/>
      </c>
    </row>
    <row r="636" spans="2:19" ht="13.5" hidden="1" thickBot="1">
      <c r="B636" s="633" t="s">
        <v>1878</v>
      </c>
      <c r="C636" s="715" t="s">
        <v>241</v>
      </c>
      <c r="D636" s="646" t="s">
        <v>1862</v>
      </c>
      <c r="E636" s="712"/>
      <c r="F636" s="742">
        <v>500</v>
      </c>
      <c r="G636" s="743">
        <v>1</v>
      </c>
      <c r="H636" s="744">
        <f>(0.52*F636+25.75)*G636</f>
        <v>285.75</v>
      </c>
      <c r="I636" s="733">
        <v>4206.5200000000004</v>
      </c>
      <c r="J636" s="733">
        <f>IF(ISBLANK(I636),"",I636*(1+$F$9)/(1+$F$10))+H636</f>
        <v>4281.8573391017726</v>
      </c>
      <c r="K636" s="713">
        <f t="shared" si="192"/>
        <v>5196.03</v>
      </c>
      <c r="L636" s="664" t="s">
        <v>20</v>
      </c>
      <c r="M636" s="777">
        <f>ROUND(M631*G631,2)</f>
        <v>0</v>
      </c>
      <c r="N636" s="783"/>
      <c r="O636" s="436">
        <f t="shared" si="161"/>
        <v>0</v>
      </c>
      <c r="P636" s="437">
        <f t="shared" si="162"/>
        <v>0</v>
      </c>
      <c r="Q636" s="288"/>
      <c r="S636" s="385" t="str">
        <f t="shared" ref="S636:S699" si="211">IF(R636="x","x",IF(R636="y","x",IF(R636="xy","x",IF(P636&gt;0,"x",""))))</f>
        <v/>
      </c>
    </row>
    <row r="637" spans="2:19" hidden="1">
      <c r="B637" s="632" t="s">
        <v>1977</v>
      </c>
      <c r="C637" s="714" t="s">
        <v>212</v>
      </c>
      <c r="D637" s="717" t="s">
        <v>1029</v>
      </c>
      <c r="E637" s="701"/>
      <c r="F637" s="734" t="s">
        <v>829</v>
      </c>
      <c r="G637" s="735">
        <v>0.04</v>
      </c>
      <c r="H637" s="736">
        <f>SUM(H638:H641)</f>
        <v>22.257249999999999</v>
      </c>
      <c r="I637" s="732">
        <v>135.25</v>
      </c>
      <c r="J637" s="732">
        <f t="shared" ref="J637" si="212">IF(ISBLANK(I637),"",SUM(H637:I637))</f>
        <v>157.50725</v>
      </c>
      <c r="K637" s="621">
        <f t="shared" si="192"/>
        <v>191.14</v>
      </c>
      <c r="L637" s="702" t="s">
        <v>20</v>
      </c>
      <c r="M637" s="780"/>
      <c r="N637" s="781"/>
      <c r="O637" s="434">
        <f t="shared" si="161"/>
        <v>0</v>
      </c>
      <c r="P637" s="435">
        <f t="shared" si="162"/>
        <v>0</v>
      </c>
      <c r="Q637" s="288"/>
      <c r="R637" s="243"/>
      <c r="S637" s="385" t="str">
        <f t="shared" si="211"/>
        <v/>
      </c>
    </row>
    <row r="638" spans="2:19" hidden="1">
      <c r="B638" s="609" t="s">
        <v>168</v>
      </c>
      <c r="C638" s="610"/>
      <c r="D638" s="648" t="s">
        <v>256</v>
      </c>
      <c r="E638" s="602"/>
      <c r="F638" s="737">
        <v>180</v>
      </c>
      <c r="G638" s="741">
        <v>0</v>
      </c>
      <c r="H638" s="739">
        <f t="shared" ref="H638" si="213">IF(F638&lt;=30,(0.7*F638+1.45)*G638,((0.7*30+1.45)+0.58*(F638-30))*G638)</f>
        <v>0</v>
      </c>
      <c r="I638" s="387"/>
      <c r="J638" s="387" t="str">
        <f t="shared" ref="J638" si="214">IF(ISBLANK(I638),"",SUM(H638:I638))</f>
        <v/>
      </c>
      <c r="K638" s="606">
        <f t="shared" si="192"/>
        <v>0</v>
      </c>
      <c r="L638" s="607" t="s">
        <v>777</v>
      </c>
      <c r="M638" s="782"/>
      <c r="N638" s="430"/>
      <c r="O638" s="287">
        <f t="shared" si="161"/>
        <v>0</v>
      </c>
      <c r="P638" s="391">
        <f t="shared" si="162"/>
        <v>0</v>
      </c>
      <c r="Q638" s="288"/>
      <c r="R638" s="315" t="str">
        <f>IF(P637&gt;0,"xy","")</f>
        <v/>
      </c>
      <c r="S638" s="385" t="str">
        <f t="shared" si="211"/>
        <v/>
      </c>
    </row>
    <row r="639" spans="2:19" hidden="1">
      <c r="B639" s="609" t="s">
        <v>168</v>
      </c>
      <c r="C639" s="610"/>
      <c r="D639" s="648" t="s">
        <v>257</v>
      </c>
      <c r="E639" s="602"/>
      <c r="F639" s="737">
        <v>500</v>
      </c>
      <c r="G639" s="741">
        <v>1.4999999999999999E-2</v>
      </c>
      <c r="H639" s="740">
        <f>IF(F639&lt;=30,(0.51*F639+4.28)*G639,((0.51*30+4.28)+0.42*(F639-30))*G639)</f>
        <v>3.2547000000000001</v>
      </c>
      <c r="I639" s="387"/>
      <c r="J639" s="387"/>
      <c r="K639" s="606">
        <f t="shared" si="192"/>
        <v>0</v>
      </c>
      <c r="L639" s="607" t="s">
        <v>777</v>
      </c>
      <c r="M639" s="782"/>
      <c r="N639" s="430"/>
      <c r="O639" s="287">
        <f t="shared" si="161"/>
        <v>0</v>
      </c>
      <c r="P639" s="391">
        <f t="shared" si="162"/>
        <v>0</v>
      </c>
      <c r="Q639" s="288"/>
      <c r="R639" s="315" t="str">
        <f>IF(P637&gt;0,"xy","")</f>
        <v/>
      </c>
      <c r="S639" s="385" t="str">
        <f t="shared" si="211"/>
        <v/>
      </c>
    </row>
    <row r="640" spans="2:19" hidden="1">
      <c r="B640" s="609" t="s">
        <v>168</v>
      </c>
      <c r="C640" s="610"/>
      <c r="D640" s="648" t="s">
        <v>270</v>
      </c>
      <c r="E640" s="602"/>
      <c r="F640" s="737">
        <v>0.2</v>
      </c>
      <c r="G640" s="741">
        <v>0.94499999999999995</v>
      </c>
      <c r="H640" s="740">
        <f>IF(F640=0,0,IF(F640&lt;=30,(0.7*F640+1.45)*G640,((0.7*30+1.45)+0.58*(F640-30))*G640))</f>
        <v>1.5025499999999998</v>
      </c>
      <c r="I640" s="387"/>
      <c r="J640" s="387"/>
      <c r="K640" s="606">
        <f t="shared" si="192"/>
        <v>0</v>
      </c>
      <c r="L640" s="607" t="s">
        <v>777</v>
      </c>
      <c r="M640" s="782"/>
      <c r="N640" s="430"/>
      <c r="O640" s="287">
        <f t="shared" si="161"/>
        <v>0</v>
      </c>
      <c r="P640" s="391">
        <f t="shared" si="162"/>
        <v>0</v>
      </c>
      <c r="Q640" s="288"/>
      <c r="R640" s="315" t="str">
        <f>IF(P637&gt;0,"xy","")</f>
        <v/>
      </c>
      <c r="S640" s="385" t="str">
        <f t="shared" si="211"/>
        <v/>
      </c>
    </row>
    <row r="641" spans="2:19" hidden="1">
      <c r="B641" s="609" t="s">
        <v>168</v>
      </c>
      <c r="C641" s="610"/>
      <c r="D641" s="648" t="s">
        <v>271</v>
      </c>
      <c r="E641" s="602"/>
      <c r="F641" s="737">
        <v>20</v>
      </c>
      <c r="G641" s="741">
        <v>1</v>
      </c>
      <c r="H641" s="740">
        <f>IF(F641&lt;=30,(0.7*F641+3.5)*G641,((0.7*30+3.5)+0.58*(F641-30))*G641)</f>
        <v>17.5</v>
      </c>
      <c r="I641" s="387"/>
      <c r="J641" s="387"/>
      <c r="K641" s="606">
        <f t="shared" si="192"/>
        <v>0</v>
      </c>
      <c r="L641" s="607" t="s">
        <v>777</v>
      </c>
      <c r="M641" s="782"/>
      <c r="N641" s="786"/>
      <c r="O641" s="287">
        <f t="shared" si="161"/>
        <v>0</v>
      </c>
      <c r="P641" s="391">
        <f t="shared" si="162"/>
        <v>0</v>
      </c>
      <c r="Q641" s="288"/>
      <c r="R641" s="315" t="str">
        <f>IF(P637&gt;0,"xy","")</f>
        <v/>
      </c>
      <c r="S641" s="385" t="str">
        <f t="shared" si="211"/>
        <v/>
      </c>
    </row>
    <row r="642" spans="2:19" ht="13.5" hidden="1" thickBot="1">
      <c r="B642" s="633" t="s">
        <v>325</v>
      </c>
      <c r="C642" s="718" t="s">
        <v>241</v>
      </c>
      <c r="D642" s="646" t="s">
        <v>823</v>
      </c>
      <c r="E642" s="704"/>
      <c r="F642" s="748">
        <v>500</v>
      </c>
      <c r="G642" s="743">
        <v>1</v>
      </c>
      <c r="H642" s="744">
        <f>(0.58*F642+28.61)*G642</f>
        <v>318.61</v>
      </c>
      <c r="I642" s="733">
        <v>5118.8900000000003</v>
      </c>
      <c r="J642" s="733">
        <f>IF(ISBLANK(I642),"",I642*(1+$F$9)/(1+$F$10))+H642</f>
        <v>5181.4500428512565</v>
      </c>
      <c r="K642" s="658">
        <f t="shared" si="192"/>
        <v>6287.69</v>
      </c>
      <c r="L642" s="705" t="s">
        <v>20</v>
      </c>
      <c r="M642" s="777">
        <f>ROUND(M637*G637,2)</f>
        <v>0</v>
      </c>
      <c r="N642" s="783"/>
      <c r="O642" s="436">
        <f t="shared" si="161"/>
        <v>0</v>
      </c>
      <c r="P642" s="437">
        <f t="shared" si="162"/>
        <v>0</v>
      </c>
      <c r="Q642" s="288"/>
      <c r="S642" s="385" t="str">
        <f t="shared" si="211"/>
        <v/>
      </c>
    </row>
    <row r="643" spans="2:19" hidden="1">
      <c r="B643" s="632" t="s">
        <v>1979</v>
      </c>
      <c r="C643" s="714" t="s">
        <v>212</v>
      </c>
      <c r="D643" s="717" t="s">
        <v>1030</v>
      </c>
      <c r="E643" s="701"/>
      <c r="F643" s="734" t="s">
        <v>829</v>
      </c>
      <c r="G643" s="735">
        <v>0.04</v>
      </c>
      <c r="H643" s="736">
        <f>SUM(H644:H647)</f>
        <v>22.257249999999999</v>
      </c>
      <c r="I643" s="732">
        <v>120.3</v>
      </c>
      <c r="J643" s="732">
        <f t="shared" ref="J643" si="215">IF(ISBLANK(I643),"",SUM(H643:I643))</f>
        <v>142.55725000000001</v>
      </c>
      <c r="K643" s="621">
        <f t="shared" si="192"/>
        <v>172.99</v>
      </c>
      <c r="L643" s="702" t="s">
        <v>20</v>
      </c>
      <c r="M643" s="780"/>
      <c r="N643" s="781"/>
      <c r="O643" s="434">
        <f t="shared" si="161"/>
        <v>0</v>
      </c>
      <c r="P643" s="435">
        <f t="shared" si="162"/>
        <v>0</v>
      </c>
      <c r="Q643" s="288"/>
      <c r="R643" s="243"/>
      <c r="S643" s="385" t="str">
        <f t="shared" si="211"/>
        <v/>
      </c>
    </row>
    <row r="644" spans="2:19" hidden="1">
      <c r="B644" s="609" t="s">
        <v>168</v>
      </c>
      <c r="C644" s="610"/>
      <c r="D644" s="648" t="s">
        <v>256</v>
      </c>
      <c r="E644" s="602"/>
      <c r="F644" s="737">
        <v>180</v>
      </c>
      <c r="G644" s="741">
        <v>0</v>
      </c>
      <c r="H644" s="739">
        <f t="shared" ref="H644" si="216">IF(F644&lt;=30,(0.7*F644+1.45)*G644,((0.7*30+1.45)+0.58*(F644-30))*G644)</f>
        <v>0</v>
      </c>
      <c r="I644" s="387"/>
      <c r="J644" s="387" t="str">
        <f t="shared" ref="J644" si="217">IF(ISBLANK(I644),"",SUM(H644:I644))</f>
        <v/>
      </c>
      <c r="K644" s="606">
        <f t="shared" si="192"/>
        <v>0</v>
      </c>
      <c r="L644" s="716" t="s">
        <v>777</v>
      </c>
      <c r="M644" s="782"/>
      <c r="N644" s="430"/>
      <c r="O644" s="287">
        <f t="shared" si="161"/>
        <v>0</v>
      </c>
      <c r="P644" s="391">
        <f t="shared" si="162"/>
        <v>0</v>
      </c>
      <c r="Q644" s="288"/>
      <c r="R644" s="315" t="str">
        <f>IF(P643&gt;0,"xy","")</f>
        <v/>
      </c>
      <c r="S644" s="385" t="str">
        <f t="shared" si="211"/>
        <v/>
      </c>
    </row>
    <row r="645" spans="2:19" hidden="1">
      <c r="B645" s="609" t="s">
        <v>168</v>
      </c>
      <c r="C645" s="610"/>
      <c r="D645" s="648" t="s">
        <v>257</v>
      </c>
      <c r="E645" s="602"/>
      <c r="F645" s="737">
        <v>500</v>
      </c>
      <c r="G645" s="741">
        <v>1.4999999999999999E-2</v>
      </c>
      <c r="H645" s="740">
        <f>IF(F645&lt;=30,(0.51*F645+4.28)*G645,((0.51*30+4.28)+0.42*(F645-30))*G645)</f>
        <v>3.2547000000000001</v>
      </c>
      <c r="I645" s="387"/>
      <c r="J645" s="387"/>
      <c r="K645" s="606">
        <f t="shared" si="192"/>
        <v>0</v>
      </c>
      <c r="L645" s="716" t="s">
        <v>777</v>
      </c>
      <c r="M645" s="782"/>
      <c r="N645" s="430"/>
      <c r="O645" s="287">
        <f t="shared" si="161"/>
        <v>0</v>
      </c>
      <c r="P645" s="391">
        <f t="shared" si="162"/>
        <v>0</v>
      </c>
      <c r="Q645" s="288"/>
      <c r="R645" s="315" t="str">
        <f>IF(P643&gt;0,"xy","")</f>
        <v/>
      </c>
      <c r="S645" s="385" t="str">
        <f t="shared" si="211"/>
        <v/>
      </c>
    </row>
    <row r="646" spans="2:19" hidden="1">
      <c r="B646" s="609" t="s">
        <v>168</v>
      </c>
      <c r="C646" s="610"/>
      <c r="D646" s="648" t="s">
        <v>270</v>
      </c>
      <c r="E646" s="602"/>
      <c r="F646" s="737">
        <v>0.2</v>
      </c>
      <c r="G646" s="741">
        <v>0.94499999999999995</v>
      </c>
      <c r="H646" s="740">
        <f>IF(F646=0,0,IF(F646&lt;=30,(0.7*F646+1.45)*G646,((0.7*30+1.45)+0.58*(F646-30))*G646))</f>
        <v>1.5025499999999998</v>
      </c>
      <c r="I646" s="387"/>
      <c r="J646" s="387"/>
      <c r="K646" s="606">
        <f t="shared" si="192"/>
        <v>0</v>
      </c>
      <c r="L646" s="716" t="s">
        <v>777</v>
      </c>
      <c r="M646" s="782"/>
      <c r="N646" s="430"/>
      <c r="O646" s="287">
        <f t="shared" si="161"/>
        <v>0</v>
      </c>
      <c r="P646" s="391">
        <f t="shared" si="162"/>
        <v>0</v>
      </c>
      <c r="Q646" s="288"/>
      <c r="R646" s="315" t="str">
        <f>IF(P643&gt;0,"xy","")</f>
        <v/>
      </c>
      <c r="S646" s="385" t="str">
        <f t="shared" si="211"/>
        <v/>
      </c>
    </row>
    <row r="647" spans="2:19" hidden="1">
      <c r="B647" s="609" t="s">
        <v>168</v>
      </c>
      <c r="C647" s="610"/>
      <c r="D647" s="648" t="s">
        <v>271</v>
      </c>
      <c r="E647" s="602"/>
      <c r="F647" s="737">
        <v>20</v>
      </c>
      <c r="G647" s="741">
        <f>SUM(G643:G646)</f>
        <v>1</v>
      </c>
      <c r="H647" s="740">
        <f>IF(F647&lt;=30,(0.7*F647+3.5)*G647,((0.7*30+3.5)+0.58*(F647-30))*G647)</f>
        <v>17.5</v>
      </c>
      <c r="I647" s="387"/>
      <c r="J647" s="387"/>
      <c r="K647" s="606">
        <f t="shared" si="192"/>
        <v>0</v>
      </c>
      <c r="L647" s="716" t="s">
        <v>777</v>
      </c>
      <c r="M647" s="782"/>
      <c r="N647" s="786"/>
      <c r="O647" s="287">
        <f t="shared" si="161"/>
        <v>0</v>
      </c>
      <c r="P647" s="391">
        <f t="shared" si="162"/>
        <v>0</v>
      </c>
      <c r="Q647" s="288"/>
      <c r="R647" s="315" t="str">
        <f>IF(P643&gt;0,"xy","")</f>
        <v/>
      </c>
      <c r="S647" s="385" t="str">
        <f t="shared" si="211"/>
        <v/>
      </c>
    </row>
    <row r="648" spans="2:19" ht="13.5" hidden="1" thickBot="1">
      <c r="B648" s="633" t="s">
        <v>1965</v>
      </c>
      <c r="C648" s="715" t="s">
        <v>241</v>
      </c>
      <c r="D648" s="646" t="s">
        <v>824</v>
      </c>
      <c r="E648" s="704"/>
      <c r="F648" s="748">
        <v>500</v>
      </c>
      <c r="G648" s="743">
        <v>1</v>
      </c>
      <c r="H648" s="744">
        <f>(0.58*F648+28.61)*G648</f>
        <v>318.61</v>
      </c>
      <c r="I648" s="733">
        <v>5118.8900000000003</v>
      </c>
      <c r="J648" s="733">
        <f>IF(ISBLANK(I648),"",I648*(1+$F$9)/(1+$F$10))+H648</f>
        <v>5181.4500428512565</v>
      </c>
      <c r="K648" s="658">
        <f t="shared" si="192"/>
        <v>6287.69</v>
      </c>
      <c r="L648" s="705" t="s">
        <v>20</v>
      </c>
      <c r="M648" s="777">
        <f>ROUND(M643*G643,2)</f>
        <v>0</v>
      </c>
      <c r="N648" s="783"/>
      <c r="O648" s="436">
        <f t="shared" si="161"/>
        <v>0</v>
      </c>
      <c r="P648" s="437">
        <f t="shared" si="162"/>
        <v>0</v>
      </c>
      <c r="Q648" s="288"/>
      <c r="S648" s="385" t="str">
        <f t="shared" si="211"/>
        <v/>
      </c>
    </row>
    <row r="649" spans="2:19" ht="15.75" hidden="1">
      <c r="B649" s="632" t="s">
        <v>1984</v>
      </c>
      <c r="C649" s="714" t="s">
        <v>212</v>
      </c>
      <c r="D649" s="645" t="s">
        <v>1049</v>
      </c>
      <c r="E649" s="701"/>
      <c r="F649" s="734" t="s">
        <v>829</v>
      </c>
      <c r="G649" s="735">
        <v>5.7000000000000002E-2</v>
      </c>
      <c r="H649" s="736">
        <f>SUM(H650:H653)</f>
        <v>33.016220000000004</v>
      </c>
      <c r="I649" s="732">
        <v>141.35</v>
      </c>
      <c r="J649" s="732">
        <f t="shared" ref="J649" si="218">IF(ISBLANK(I649),"",SUM(H649:I649))</f>
        <v>174.36622</v>
      </c>
      <c r="K649" s="621">
        <f t="shared" si="192"/>
        <v>211.59</v>
      </c>
      <c r="L649" s="702" t="s">
        <v>20</v>
      </c>
      <c r="M649" s="780"/>
      <c r="N649" s="781"/>
      <c r="O649" s="434">
        <f t="shared" si="161"/>
        <v>0</v>
      </c>
      <c r="P649" s="435">
        <f t="shared" si="162"/>
        <v>0</v>
      </c>
      <c r="Q649" s="288"/>
      <c r="R649" s="243"/>
      <c r="S649" s="385" t="str">
        <f t="shared" si="211"/>
        <v/>
      </c>
    </row>
    <row r="650" spans="2:19" hidden="1">
      <c r="B650" s="609" t="s">
        <v>168</v>
      </c>
      <c r="C650" s="610"/>
      <c r="D650" s="648" t="s">
        <v>256</v>
      </c>
      <c r="E650" s="602"/>
      <c r="F650" s="737">
        <v>180</v>
      </c>
      <c r="G650" s="741">
        <v>0.1</v>
      </c>
      <c r="H650" s="739">
        <f t="shared" ref="H650" si="219">IF(F650&lt;=30,(0.7*F650+1.45)*G650,((0.7*30+1.45)+0.58*(F650-30))*G650)</f>
        <v>10.945</v>
      </c>
      <c r="I650" s="387"/>
      <c r="J650" s="387"/>
      <c r="K650" s="606">
        <f t="shared" si="192"/>
        <v>0</v>
      </c>
      <c r="L650" s="607" t="s">
        <v>777</v>
      </c>
      <c r="M650" s="782"/>
      <c r="N650" s="430"/>
      <c r="O650" s="287">
        <f t="shared" si="161"/>
        <v>0</v>
      </c>
      <c r="P650" s="391">
        <f t="shared" si="162"/>
        <v>0</v>
      </c>
      <c r="Q650" s="288"/>
      <c r="R650" s="315" t="str">
        <f>IF(P649&gt;0,"xy","")</f>
        <v/>
      </c>
      <c r="S650" s="385" t="str">
        <f t="shared" si="211"/>
        <v/>
      </c>
    </row>
    <row r="651" spans="2:19" hidden="1">
      <c r="B651" s="609" t="s">
        <v>168</v>
      </c>
      <c r="C651" s="610"/>
      <c r="D651" s="648" t="s">
        <v>257</v>
      </c>
      <c r="E651" s="602"/>
      <c r="F651" s="737">
        <v>500</v>
      </c>
      <c r="G651" s="741">
        <v>1.4999999999999999E-2</v>
      </c>
      <c r="H651" s="740">
        <f>IF(F651&lt;=30,(0.51*F651+4.28)*G651,((0.51*30+4.28)+0.42*(F651-30))*G651)</f>
        <v>3.2547000000000001</v>
      </c>
      <c r="I651" s="387"/>
      <c r="J651" s="387"/>
      <c r="K651" s="606">
        <f t="shared" si="192"/>
        <v>0</v>
      </c>
      <c r="L651" s="607" t="s">
        <v>777</v>
      </c>
      <c r="M651" s="782"/>
      <c r="N651" s="430"/>
      <c r="O651" s="287">
        <f t="shared" si="161"/>
        <v>0</v>
      </c>
      <c r="P651" s="391">
        <f t="shared" si="162"/>
        <v>0</v>
      </c>
      <c r="Q651" s="288"/>
      <c r="R651" s="315" t="str">
        <f>IF(P649&gt;0,"xy","")</f>
        <v/>
      </c>
      <c r="S651" s="385" t="str">
        <f t="shared" si="211"/>
        <v/>
      </c>
    </row>
    <row r="652" spans="2:19" hidden="1">
      <c r="B652" s="609" t="s">
        <v>168</v>
      </c>
      <c r="C652" s="610"/>
      <c r="D652" s="648" t="s">
        <v>270</v>
      </c>
      <c r="E652" s="602"/>
      <c r="F652" s="737">
        <v>0.2</v>
      </c>
      <c r="G652" s="741">
        <v>0.82799999999999996</v>
      </c>
      <c r="H652" s="740">
        <f>IF(F652=0,0,IF(F652&lt;=30,(0.7*F652+1.45)*G652,((0.7*30+1.45)+0.58*(F652-30))*G652))</f>
        <v>1.3165199999999999</v>
      </c>
      <c r="I652" s="387"/>
      <c r="J652" s="387"/>
      <c r="K652" s="606">
        <f t="shared" si="192"/>
        <v>0</v>
      </c>
      <c r="L652" s="607" t="s">
        <v>777</v>
      </c>
      <c r="M652" s="782"/>
      <c r="N652" s="430"/>
      <c r="O652" s="287">
        <f t="shared" si="161"/>
        <v>0</v>
      </c>
      <c r="P652" s="391">
        <f t="shared" si="162"/>
        <v>0</v>
      </c>
      <c r="Q652" s="288"/>
      <c r="R652" s="315" t="str">
        <f>IF(P649&gt;0,"xy","")</f>
        <v/>
      </c>
      <c r="S652" s="385" t="str">
        <f t="shared" si="211"/>
        <v/>
      </c>
    </row>
    <row r="653" spans="2:19" hidden="1">
      <c r="B653" s="609" t="s">
        <v>168</v>
      </c>
      <c r="C653" s="610"/>
      <c r="D653" s="648" t="s">
        <v>271</v>
      </c>
      <c r="E653" s="602"/>
      <c r="F653" s="737">
        <v>20</v>
      </c>
      <c r="G653" s="741">
        <f>SUM(G649:G652)</f>
        <v>1</v>
      </c>
      <c r="H653" s="740">
        <f>IF(F653&lt;=30,(0.7*F653+3.5)*G653,((0.7*30+3.5)+0.58*(F653-30))*G653)</f>
        <v>17.5</v>
      </c>
      <c r="I653" s="387"/>
      <c r="J653" s="387"/>
      <c r="K653" s="606">
        <f t="shared" si="192"/>
        <v>0</v>
      </c>
      <c r="L653" s="607" t="s">
        <v>777</v>
      </c>
      <c r="M653" s="782"/>
      <c r="N653" s="786"/>
      <c r="O653" s="287">
        <f t="shared" si="161"/>
        <v>0</v>
      </c>
      <c r="P653" s="391">
        <f t="shared" si="162"/>
        <v>0</v>
      </c>
      <c r="Q653" s="288"/>
      <c r="R653" s="315" t="str">
        <f>IF(P649&gt;0,"xy","")</f>
        <v/>
      </c>
      <c r="S653" s="385" t="str">
        <f t="shared" si="211"/>
        <v/>
      </c>
    </row>
    <row r="654" spans="2:19" ht="13.5" hidden="1" thickBot="1">
      <c r="B654" s="633" t="s">
        <v>1966</v>
      </c>
      <c r="C654" s="715" t="s">
        <v>241</v>
      </c>
      <c r="D654" s="646" t="s">
        <v>825</v>
      </c>
      <c r="E654" s="712"/>
      <c r="F654" s="742">
        <v>500</v>
      </c>
      <c r="G654" s="743">
        <v>1</v>
      </c>
      <c r="H654" s="744">
        <f>(0.58*F654+28.61)*G654</f>
        <v>318.61</v>
      </c>
      <c r="I654" s="733">
        <v>5118.8900000000003</v>
      </c>
      <c r="J654" s="733">
        <f>IF(ISBLANK(I654),"",I654*(1+$F$9)/(1+$F$10))+H654</f>
        <v>5181.4500428512565</v>
      </c>
      <c r="K654" s="713">
        <f t="shared" si="192"/>
        <v>6287.69</v>
      </c>
      <c r="L654" s="664" t="s">
        <v>20</v>
      </c>
      <c r="M654" s="777">
        <f>ROUND(M649*G649,2)</f>
        <v>0</v>
      </c>
      <c r="N654" s="783"/>
      <c r="O654" s="436">
        <f t="shared" si="161"/>
        <v>0</v>
      </c>
      <c r="P654" s="437">
        <f t="shared" si="162"/>
        <v>0</v>
      </c>
      <c r="Q654" s="288"/>
      <c r="S654" s="385" t="str">
        <f t="shared" si="211"/>
        <v/>
      </c>
    </row>
    <row r="655" spans="2:19" ht="15.75" hidden="1">
      <c r="B655" s="632" t="s">
        <v>2009</v>
      </c>
      <c r="C655" s="714" t="s">
        <v>212</v>
      </c>
      <c r="D655" s="645" t="s">
        <v>1050</v>
      </c>
      <c r="E655" s="701"/>
      <c r="F655" s="734" t="s">
        <v>829</v>
      </c>
      <c r="G655" s="735">
        <v>5.7000000000000002E-2</v>
      </c>
      <c r="H655" s="736">
        <f>SUM(H656:H659)</f>
        <v>33.016220000000004</v>
      </c>
      <c r="I655" s="732">
        <v>127</v>
      </c>
      <c r="J655" s="732">
        <f t="shared" ref="J655" si="220">IF(ISBLANK(I655),"",SUM(H655:I655))</f>
        <v>160.01622</v>
      </c>
      <c r="K655" s="621">
        <f t="shared" si="192"/>
        <v>194.18</v>
      </c>
      <c r="L655" s="702" t="s">
        <v>20</v>
      </c>
      <c r="M655" s="780"/>
      <c r="N655" s="781"/>
      <c r="O655" s="434">
        <f t="shared" si="161"/>
        <v>0</v>
      </c>
      <c r="P655" s="435">
        <f t="shared" si="162"/>
        <v>0</v>
      </c>
      <c r="Q655" s="288"/>
      <c r="R655" s="243"/>
      <c r="S655" s="385" t="str">
        <f t="shared" si="211"/>
        <v/>
      </c>
    </row>
    <row r="656" spans="2:19" hidden="1">
      <c r="B656" s="609" t="s">
        <v>168</v>
      </c>
      <c r="C656" s="610"/>
      <c r="D656" s="648" t="s">
        <v>256</v>
      </c>
      <c r="E656" s="602"/>
      <c r="F656" s="737">
        <v>180</v>
      </c>
      <c r="G656" s="741">
        <v>0.1</v>
      </c>
      <c r="H656" s="739">
        <f t="shared" ref="H656" si="221">IF(F656&lt;=30,(0.7*F656+1.45)*G656,((0.7*30+1.45)+0.58*(F656-30))*G656)</f>
        <v>10.945</v>
      </c>
      <c r="I656" s="387"/>
      <c r="J656" s="387"/>
      <c r="K656" s="606">
        <f t="shared" si="192"/>
        <v>0</v>
      </c>
      <c r="L656" s="607" t="s">
        <v>777</v>
      </c>
      <c r="M656" s="782"/>
      <c r="N656" s="430"/>
      <c r="O656" s="287">
        <f t="shared" si="161"/>
        <v>0</v>
      </c>
      <c r="P656" s="391">
        <f t="shared" si="162"/>
        <v>0</v>
      </c>
      <c r="Q656" s="288"/>
      <c r="R656" s="315" t="str">
        <f>IF(P655&gt;0,"xy","")</f>
        <v/>
      </c>
      <c r="S656" s="385" t="str">
        <f t="shared" si="211"/>
        <v/>
      </c>
    </row>
    <row r="657" spans="2:19" hidden="1">
      <c r="B657" s="609" t="s">
        <v>168</v>
      </c>
      <c r="C657" s="610"/>
      <c r="D657" s="648" t="s">
        <v>257</v>
      </c>
      <c r="E657" s="602"/>
      <c r="F657" s="737">
        <v>500</v>
      </c>
      <c r="G657" s="741">
        <v>1.4999999999999999E-2</v>
      </c>
      <c r="H657" s="740">
        <f>IF(F657&lt;=30,(0.51*F657+4.28)*G657,((0.51*30+4.28)+0.42*(F657-30))*G657)</f>
        <v>3.2547000000000001</v>
      </c>
      <c r="I657" s="387"/>
      <c r="J657" s="387"/>
      <c r="K657" s="606">
        <f t="shared" si="192"/>
        <v>0</v>
      </c>
      <c r="L657" s="607" t="s">
        <v>777</v>
      </c>
      <c r="M657" s="782"/>
      <c r="N657" s="430"/>
      <c r="O657" s="287">
        <f t="shared" si="161"/>
        <v>0</v>
      </c>
      <c r="P657" s="391">
        <f t="shared" si="162"/>
        <v>0</v>
      </c>
      <c r="Q657" s="288"/>
      <c r="R657" s="315" t="str">
        <f>IF(P655&gt;0,"xy","")</f>
        <v/>
      </c>
      <c r="S657" s="385" t="str">
        <f t="shared" si="211"/>
        <v/>
      </c>
    </row>
    <row r="658" spans="2:19" hidden="1">
      <c r="B658" s="609" t="s">
        <v>168</v>
      </c>
      <c r="C658" s="610"/>
      <c r="D658" s="648" t="s">
        <v>270</v>
      </c>
      <c r="E658" s="602"/>
      <c r="F658" s="737">
        <v>0.2</v>
      </c>
      <c r="G658" s="741">
        <v>0.82799999999999996</v>
      </c>
      <c r="H658" s="740">
        <f>IF(F658=0,0,IF(F658&lt;=30,(0.7*F658+1.45)*G658,((0.7*30+1.45)+0.58*(F658-30))*G658))</f>
        <v>1.3165199999999999</v>
      </c>
      <c r="I658" s="387"/>
      <c r="J658" s="387"/>
      <c r="K658" s="606">
        <f t="shared" si="192"/>
        <v>0</v>
      </c>
      <c r="L658" s="607" t="s">
        <v>777</v>
      </c>
      <c r="M658" s="782"/>
      <c r="N658" s="430"/>
      <c r="O658" s="287">
        <f t="shared" si="161"/>
        <v>0</v>
      </c>
      <c r="P658" s="391">
        <f t="shared" si="162"/>
        <v>0</v>
      </c>
      <c r="Q658" s="288"/>
      <c r="R658" s="315" t="str">
        <f>IF(P655&gt;0,"xy","")</f>
        <v/>
      </c>
      <c r="S658" s="385" t="str">
        <f t="shared" si="211"/>
        <v/>
      </c>
    </row>
    <row r="659" spans="2:19" hidden="1">
      <c r="B659" s="609" t="s">
        <v>168</v>
      </c>
      <c r="C659" s="610"/>
      <c r="D659" s="648" t="s">
        <v>271</v>
      </c>
      <c r="E659" s="602"/>
      <c r="F659" s="737">
        <v>20</v>
      </c>
      <c r="G659" s="741">
        <f>SUM(G655:G658)</f>
        <v>1</v>
      </c>
      <c r="H659" s="740">
        <f>IF(F659&lt;=30,(0.7*F659+3.5)*G659,((0.7*30+3.5)+0.58*(F659-30))*G659)</f>
        <v>17.5</v>
      </c>
      <c r="I659" s="387"/>
      <c r="J659" s="387"/>
      <c r="K659" s="606">
        <f t="shared" si="192"/>
        <v>0</v>
      </c>
      <c r="L659" s="607" t="s">
        <v>777</v>
      </c>
      <c r="M659" s="782"/>
      <c r="N659" s="786"/>
      <c r="O659" s="287">
        <f t="shared" si="161"/>
        <v>0</v>
      </c>
      <c r="P659" s="391">
        <f t="shared" si="162"/>
        <v>0</v>
      </c>
      <c r="Q659" s="288"/>
      <c r="R659" s="315" t="str">
        <f>IF(P655&gt;0,"xy","")</f>
        <v/>
      </c>
      <c r="S659" s="385" t="str">
        <f t="shared" si="211"/>
        <v/>
      </c>
    </row>
    <row r="660" spans="2:19" ht="13.5" hidden="1" thickBot="1">
      <c r="B660" s="633">
        <v>589000</v>
      </c>
      <c r="C660" s="715" t="s">
        <v>241</v>
      </c>
      <c r="D660" s="646" t="s">
        <v>826</v>
      </c>
      <c r="E660" s="704"/>
      <c r="F660" s="742">
        <v>500</v>
      </c>
      <c r="G660" s="743">
        <v>1</v>
      </c>
      <c r="H660" s="744">
        <f>(0.58*F660+28.61)*G660</f>
        <v>318.61</v>
      </c>
      <c r="I660" s="733">
        <v>5118.8900000000003</v>
      </c>
      <c r="J660" s="733">
        <f>IF(ISBLANK(I660),"",I660*(1+$F$9)/(1+$F$10))+H660</f>
        <v>5181.4500428512565</v>
      </c>
      <c r="K660" s="658">
        <f t="shared" si="192"/>
        <v>6287.69</v>
      </c>
      <c r="L660" s="705" t="s">
        <v>20</v>
      </c>
      <c r="M660" s="777">
        <f>ROUND(M655*G655,2)</f>
        <v>0</v>
      </c>
      <c r="N660" s="783"/>
      <c r="O660" s="436">
        <f t="shared" si="161"/>
        <v>0</v>
      </c>
      <c r="P660" s="437">
        <f t="shared" si="162"/>
        <v>0</v>
      </c>
      <c r="Q660" s="288"/>
      <c r="S660" s="385" t="str">
        <f t="shared" si="211"/>
        <v/>
      </c>
    </row>
    <row r="661" spans="2:19" hidden="1">
      <c r="B661" s="628" t="s">
        <v>1813</v>
      </c>
      <c r="C661" s="655" t="s">
        <v>212</v>
      </c>
      <c r="D661" s="611" t="s">
        <v>302</v>
      </c>
      <c r="E661" s="602"/>
      <c r="F661" s="603">
        <v>20</v>
      </c>
      <c r="G661" s="673">
        <v>0.3</v>
      </c>
      <c r="H661" s="608">
        <f t="shared" ref="H661:H662" si="222">IF(F661&lt;=30,(0.7*F661+1.45)*G661,((0.7*30+1.45)+0.58*(F661-30))*G661)</f>
        <v>4.6349999999999998</v>
      </c>
      <c r="I661" s="675">
        <v>22.76</v>
      </c>
      <c r="J661" s="675">
        <f t="shared" ref="J661:J691" si="223">IF(ISBLANK(I661),"",SUM(H661:I661))</f>
        <v>27.395000000000003</v>
      </c>
      <c r="K661" s="606">
        <f t="shared" si="192"/>
        <v>33.24</v>
      </c>
      <c r="L661" s="607" t="s">
        <v>18</v>
      </c>
      <c r="M661" s="30"/>
      <c r="N661" s="30"/>
      <c r="O661" s="287">
        <f t="shared" ref="O661:O691" si="224">IF(ISBLANK(M661),0,ROUND(K661*M661,2))</f>
        <v>0</v>
      </c>
      <c r="P661" s="287">
        <f t="shared" ref="P661:P691" si="225">IF(ISBLANK(N661),0,ROUND(M661*N661,2))</f>
        <v>0</v>
      </c>
      <c r="Q661" s="288"/>
      <c r="R661" s="243"/>
      <c r="S661" s="385" t="str">
        <f t="shared" si="211"/>
        <v/>
      </c>
    </row>
    <row r="662" spans="2:19" hidden="1">
      <c r="B662" s="609" t="s">
        <v>1809</v>
      </c>
      <c r="C662" s="610" t="s">
        <v>212</v>
      </c>
      <c r="D662" s="611" t="s">
        <v>303</v>
      </c>
      <c r="E662" s="602"/>
      <c r="F662" s="603">
        <v>20</v>
      </c>
      <c r="G662" s="673">
        <v>7.6999999999999999E-2</v>
      </c>
      <c r="H662" s="608">
        <f t="shared" si="222"/>
        <v>1.1896499999999999</v>
      </c>
      <c r="I662" s="675">
        <v>9.84</v>
      </c>
      <c r="J662" s="675">
        <f t="shared" si="223"/>
        <v>11.02965</v>
      </c>
      <c r="K662" s="606">
        <f t="shared" si="192"/>
        <v>13.38</v>
      </c>
      <c r="L662" s="607" t="s">
        <v>19</v>
      </c>
      <c r="M662" s="30"/>
      <c r="N662" s="30"/>
      <c r="O662" s="287">
        <f t="shared" si="224"/>
        <v>0</v>
      </c>
      <c r="P662" s="287">
        <f t="shared" si="225"/>
        <v>0</v>
      </c>
      <c r="Q662" s="288"/>
      <c r="R662" s="243"/>
      <c r="S662" s="385" t="str">
        <f t="shared" si="211"/>
        <v/>
      </c>
    </row>
    <row r="663" spans="2:19" hidden="1">
      <c r="B663" s="609" t="s">
        <v>1814</v>
      </c>
      <c r="C663" s="610" t="s">
        <v>212</v>
      </c>
      <c r="D663" s="611" t="s">
        <v>304</v>
      </c>
      <c r="E663" s="602"/>
      <c r="F663" s="603"/>
      <c r="G663" s="673"/>
      <c r="H663" s="605"/>
      <c r="I663" s="675">
        <v>8.5500000000000007</v>
      </c>
      <c r="J663" s="675">
        <f t="shared" si="223"/>
        <v>8.5500000000000007</v>
      </c>
      <c r="K663" s="606">
        <f t="shared" si="192"/>
        <v>10.38</v>
      </c>
      <c r="L663" s="607" t="s">
        <v>18</v>
      </c>
      <c r="M663" s="30"/>
      <c r="N663" s="30"/>
      <c r="O663" s="287">
        <f t="shared" si="224"/>
        <v>0</v>
      </c>
      <c r="P663" s="287">
        <f t="shared" si="225"/>
        <v>0</v>
      </c>
      <c r="Q663" s="288"/>
      <c r="R663" s="243"/>
      <c r="S663" s="385" t="str">
        <f t="shared" si="211"/>
        <v/>
      </c>
    </row>
    <row r="664" spans="2:19" hidden="1">
      <c r="B664" s="609" t="s">
        <v>1815</v>
      </c>
      <c r="C664" s="610" t="s">
        <v>212</v>
      </c>
      <c r="D664" s="611" t="s">
        <v>305</v>
      </c>
      <c r="E664" s="602"/>
      <c r="F664" s="603"/>
      <c r="G664" s="673"/>
      <c r="H664" s="605"/>
      <c r="I664" s="675">
        <v>11.97</v>
      </c>
      <c r="J664" s="675">
        <f t="shared" si="223"/>
        <v>11.97</v>
      </c>
      <c r="K664" s="606">
        <f t="shared" si="192"/>
        <v>14.53</v>
      </c>
      <c r="L664" s="607" t="s">
        <v>18</v>
      </c>
      <c r="M664" s="30"/>
      <c r="N664" s="30"/>
      <c r="O664" s="287">
        <f t="shared" si="224"/>
        <v>0</v>
      </c>
      <c r="P664" s="287">
        <f t="shared" si="225"/>
        <v>0</v>
      </c>
      <c r="Q664" s="288"/>
      <c r="R664" s="243"/>
      <c r="S664" s="385" t="str">
        <f t="shared" si="211"/>
        <v/>
      </c>
    </row>
    <row r="665" spans="2:19" hidden="1">
      <c r="B665" s="609" t="s">
        <v>1944</v>
      </c>
      <c r="C665" s="610" t="s">
        <v>212</v>
      </c>
      <c r="D665" s="611" t="s">
        <v>249</v>
      </c>
      <c r="E665" s="602"/>
      <c r="F665" s="603">
        <v>20</v>
      </c>
      <c r="G665" s="604">
        <v>0.27200000000000002</v>
      </c>
      <c r="H665" s="608">
        <f t="shared" ref="H665:H678" si="226">IF(F665&lt;=30,(0.7*F665+1.45)*G665,((0.7*30+1.45)+0.58*(F665-30))*G665)</f>
        <v>4.2023999999999999</v>
      </c>
      <c r="I665" s="675">
        <v>84.59</v>
      </c>
      <c r="J665" s="675">
        <f t="shared" si="223"/>
        <v>88.792400000000001</v>
      </c>
      <c r="K665" s="606">
        <f t="shared" si="192"/>
        <v>107.75</v>
      </c>
      <c r="L665" s="607" t="s">
        <v>18</v>
      </c>
      <c r="M665" s="30"/>
      <c r="N665" s="30"/>
      <c r="O665" s="287">
        <f t="shared" si="224"/>
        <v>0</v>
      </c>
      <c r="P665" s="287">
        <f t="shared" si="225"/>
        <v>0</v>
      </c>
      <c r="Q665" s="288"/>
      <c r="R665" s="243"/>
      <c r="S665" s="385" t="str">
        <f t="shared" si="211"/>
        <v/>
      </c>
    </row>
    <row r="666" spans="2:19" hidden="1">
      <c r="B666" s="609" t="s">
        <v>1825</v>
      </c>
      <c r="C666" s="610" t="s">
        <v>212</v>
      </c>
      <c r="D666" s="611" t="s">
        <v>250</v>
      </c>
      <c r="E666" s="602"/>
      <c r="F666" s="603">
        <v>20</v>
      </c>
      <c r="G666" s="604">
        <f>2*0.04</f>
        <v>0.08</v>
      </c>
      <c r="H666" s="608">
        <f t="shared" si="226"/>
        <v>1.236</v>
      </c>
      <c r="I666" s="675">
        <v>40.720000000000006</v>
      </c>
      <c r="J666" s="675">
        <f t="shared" si="223"/>
        <v>41.956000000000003</v>
      </c>
      <c r="K666" s="606">
        <f t="shared" si="192"/>
        <v>50.91</v>
      </c>
      <c r="L666" s="607" t="s">
        <v>18</v>
      </c>
      <c r="M666" s="30"/>
      <c r="N666" s="30"/>
      <c r="O666" s="287">
        <f t="shared" si="224"/>
        <v>0</v>
      </c>
      <c r="P666" s="287">
        <f t="shared" si="225"/>
        <v>0</v>
      </c>
      <c r="Q666" s="288"/>
      <c r="R666" s="243"/>
      <c r="S666" s="385" t="str">
        <f t="shared" si="211"/>
        <v/>
      </c>
    </row>
    <row r="667" spans="2:19" hidden="1">
      <c r="B667" s="609" t="s">
        <v>1826</v>
      </c>
      <c r="C667" s="610" t="s">
        <v>212</v>
      </c>
      <c r="D667" s="611" t="s">
        <v>251</v>
      </c>
      <c r="E667" s="602"/>
      <c r="F667" s="603">
        <v>20</v>
      </c>
      <c r="G667" s="604">
        <f>2*0.05</f>
        <v>0.1</v>
      </c>
      <c r="H667" s="608">
        <f t="shared" si="226"/>
        <v>1.5449999999999999</v>
      </c>
      <c r="I667" s="675">
        <v>45.81</v>
      </c>
      <c r="J667" s="675">
        <f t="shared" si="223"/>
        <v>47.355000000000004</v>
      </c>
      <c r="K667" s="606">
        <f t="shared" si="192"/>
        <v>57.47</v>
      </c>
      <c r="L667" s="607" t="s">
        <v>18</v>
      </c>
      <c r="M667" s="30"/>
      <c r="N667" s="30"/>
      <c r="O667" s="287">
        <f t="shared" si="224"/>
        <v>0</v>
      </c>
      <c r="P667" s="287">
        <f t="shared" si="225"/>
        <v>0</v>
      </c>
      <c r="Q667" s="288"/>
      <c r="R667" s="243"/>
      <c r="S667" s="385" t="str">
        <f t="shared" si="211"/>
        <v/>
      </c>
    </row>
    <row r="668" spans="2:19" hidden="1">
      <c r="B668" s="609" t="s">
        <v>1827</v>
      </c>
      <c r="C668" s="610" t="s">
        <v>212</v>
      </c>
      <c r="D668" s="611" t="s">
        <v>252</v>
      </c>
      <c r="E668" s="602"/>
      <c r="F668" s="603">
        <v>20</v>
      </c>
      <c r="G668" s="604">
        <f>2*0.06</f>
        <v>0.12</v>
      </c>
      <c r="H668" s="608">
        <f t="shared" si="226"/>
        <v>1.8539999999999999</v>
      </c>
      <c r="I668" s="675">
        <v>50.900000000000006</v>
      </c>
      <c r="J668" s="675">
        <f t="shared" si="223"/>
        <v>52.754000000000005</v>
      </c>
      <c r="K668" s="606">
        <f t="shared" si="192"/>
        <v>64.02</v>
      </c>
      <c r="L668" s="607" t="s">
        <v>18</v>
      </c>
      <c r="M668" s="30"/>
      <c r="N668" s="30"/>
      <c r="O668" s="287">
        <f t="shared" si="224"/>
        <v>0</v>
      </c>
      <c r="P668" s="287">
        <f t="shared" si="225"/>
        <v>0</v>
      </c>
      <c r="Q668" s="288"/>
      <c r="R668" s="243"/>
      <c r="S668" s="385" t="str">
        <f t="shared" si="211"/>
        <v/>
      </c>
    </row>
    <row r="669" spans="2:19" hidden="1">
      <c r="B669" s="609" t="s">
        <v>1828</v>
      </c>
      <c r="C669" s="610" t="s">
        <v>212</v>
      </c>
      <c r="D669" s="611" t="s">
        <v>253</v>
      </c>
      <c r="E669" s="602"/>
      <c r="F669" s="603">
        <v>20</v>
      </c>
      <c r="G669" s="604">
        <f>2*0.07</f>
        <v>0.14000000000000001</v>
      </c>
      <c r="H669" s="608">
        <f t="shared" si="226"/>
        <v>2.1630000000000003</v>
      </c>
      <c r="I669" s="675">
        <v>53.36</v>
      </c>
      <c r="J669" s="675">
        <f t="shared" si="223"/>
        <v>55.522999999999996</v>
      </c>
      <c r="K669" s="606">
        <f t="shared" si="192"/>
        <v>67.38</v>
      </c>
      <c r="L669" s="607" t="s">
        <v>18</v>
      </c>
      <c r="M669" s="30"/>
      <c r="N669" s="30"/>
      <c r="O669" s="287">
        <f t="shared" si="224"/>
        <v>0</v>
      </c>
      <c r="P669" s="287">
        <f t="shared" si="225"/>
        <v>0</v>
      </c>
      <c r="Q669" s="288"/>
      <c r="R669" s="243"/>
      <c r="S669" s="385" t="str">
        <f t="shared" si="211"/>
        <v/>
      </c>
    </row>
    <row r="670" spans="2:19" hidden="1">
      <c r="B670" s="609" t="s">
        <v>1829</v>
      </c>
      <c r="C670" s="610" t="s">
        <v>212</v>
      </c>
      <c r="D670" s="611" t="s">
        <v>254</v>
      </c>
      <c r="E670" s="602"/>
      <c r="F670" s="603">
        <v>20</v>
      </c>
      <c r="G670" s="604">
        <f>2*0.08</f>
        <v>0.16</v>
      </c>
      <c r="H670" s="608">
        <f t="shared" si="226"/>
        <v>2.472</v>
      </c>
      <c r="I670" s="675">
        <v>55.81</v>
      </c>
      <c r="J670" s="675">
        <f t="shared" si="223"/>
        <v>58.282000000000004</v>
      </c>
      <c r="K670" s="606">
        <f t="shared" si="192"/>
        <v>70.73</v>
      </c>
      <c r="L670" s="607" t="s">
        <v>18</v>
      </c>
      <c r="M670" s="30"/>
      <c r="N670" s="30"/>
      <c r="O670" s="287">
        <f t="shared" si="224"/>
        <v>0</v>
      </c>
      <c r="P670" s="287">
        <f t="shared" si="225"/>
        <v>0</v>
      </c>
      <c r="Q670" s="288"/>
      <c r="R670" s="243"/>
      <c r="S670" s="385" t="str">
        <f t="shared" si="211"/>
        <v/>
      </c>
    </row>
    <row r="671" spans="2:19" hidden="1">
      <c r="B671" s="609" t="s">
        <v>1830</v>
      </c>
      <c r="C671" s="610" t="s">
        <v>212</v>
      </c>
      <c r="D671" s="611" t="s">
        <v>255</v>
      </c>
      <c r="E671" s="602"/>
      <c r="F671" s="603">
        <v>20</v>
      </c>
      <c r="G671" s="604">
        <f>2*0.1</f>
        <v>0.2</v>
      </c>
      <c r="H671" s="608">
        <f t="shared" si="226"/>
        <v>3.09</v>
      </c>
      <c r="I671" s="675">
        <v>63.283183908045977</v>
      </c>
      <c r="J671" s="675">
        <f t="shared" si="223"/>
        <v>66.373183908045974</v>
      </c>
      <c r="K671" s="606">
        <f t="shared" si="192"/>
        <v>80.540000000000006</v>
      </c>
      <c r="L671" s="607" t="s">
        <v>18</v>
      </c>
      <c r="M671" s="30"/>
      <c r="N671" s="30"/>
      <c r="O671" s="287">
        <f t="shared" si="224"/>
        <v>0</v>
      </c>
      <c r="P671" s="287">
        <f t="shared" si="225"/>
        <v>0</v>
      </c>
      <c r="Q671" s="288"/>
      <c r="R671" s="243"/>
      <c r="S671" s="385" t="str">
        <f t="shared" si="211"/>
        <v/>
      </c>
    </row>
    <row r="672" spans="2:19" hidden="1">
      <c r="B672" s="609" t="s">
        <v>1831</v>
      </c>
      <c r="C672" s="610" t="s">
        <v>212</v>
      </c>
      <c r="D672" s="611" t="s">
        <v>1019</v>
      </c>
      <c r="E672" s="602"/>
      <c r="F672" s="603">
        <v>20</v>
      </c>
      <c r="G672" s="604">
        <v>0.14000000000000001</v>
      </c>
      <c r="H672" s="608">
        <f t="shared" si="226"/>
        <v>2.1630000000000003</v>
      </c>
      <c r="I672" s="675">
        <v>50.900000000000006</v>
      </c>
      <c r="J672" s="675">
        <f t="shared" si="223"/>
        <v>53.063000000000002</v>
      </c>
      <c r="K672" s="606">
        <f t="shared" si="192"/>
        <v>64.39</v>
      </c>
      <c r="L672" s="607" t="s">
        <v>18</v>
      </c>
      <c r="M672" s="30"/>
      <c r="N672" s="30"/>
      <c r="O672" s="287">
        <f t="shared" si="224"/>
        <v>0</v>
      </c>
      <c r="P672" s="287">
        <f t="shared" si="225"/>
        <v>0</v>
      </c>
      <c r="Q672" s="288"/>
      <c r="R672" s="243"/>
      <c r="S672" s="385" t="str">
        <f t="shared" si="211"/>
        <v/>
      </c>
    </row>
    <row r="673" spans="2:20" hidden="1">
      <c r="B673" s="609" t="s">
        <v>1832</v>
      </c>
      <c r="C673" s="610" t="s">
        <v>212</v>
      </c>
      <c r="D673" s="611" t="s">
        <v>1020</v>
      </c>
      <c r="E673" s="602"/>
      <c r="F673" s="603">
        <v>20</v>
      </c>
      <c r="G673" s="604">
        <v>0.14000000000000001</v>
      </c>
      <c r="H673" s="608">
        <f t="shared" si="226"/>
        <v>2.1630000000000003</v>
      </c>
      <c r="I673" s="675">
        <v>55.99</v>
      </c>
      <c r="J673" s="675">
        <f t="shared" si="223"/>
        <v>58.153000000000006</v>
      </c>
      <c r="K673" s="606">
        <f t="shared" si="192"/>
        <v>70.569999999999993</v>
      </c>
      <c r="L673" s="607" t="s">
        <v>18</v>
      </c>
      <c r="M673" s="30"/>
      <c r="N673" s="30"/>
      <c r="O673" s="287">
        <f t="shared" si="224"/>
        <v>0</v>
      </c>
      <c r="P673" s="287">
        <f t="shared" si="225"/>
        <v>0</v>
      </c>
      <c r="Q673" s="288"/>
      <c r="R673" s="243"/>
      <c r="S673" s="385" t="str">
        <f t="shared" si="211"/>
        <v/>
      </c>
    </row>
    <row r="674" spans="2:20" hidden="1">
      <c r="B674" s="609" t="s">
        <v>239</v>
      </c>
      <c r="C674" s="610" t="s">
        <v>212</v>
      </c>
      <c r="D674" s="611" t="s">
        <v>1021</v>
      </c>
      <c r="E674" s="602"/>
      <c r="F674" s="603">
        <v>20</v>
      </c>
      <c r="G674" s="604">
        <v>0.18</v>
      </c>
      <c r="H674" s="608">
        <f t="shared" si="226"/>
        <v>2.7809999999999997</v>
      </c>
      <c r="I674" s="675">
        <v>55.81</v>
      </c>
      <c r="J674" s="675">
        <f t="shared" si="223"/>
        <v>58.591000000000001</v>
      </c>
      <c r="K674" s="606">
        <f t="shared" si="192"/>
        <v>71.099999999999994</v>
      </c>
      <c r="L674" s="607" t="s">
        <v>18</v>
      </c>
      <c r="M674" s="30"/>
      <c r="N674" s="30"/>
      <c r="O674" s="287">
        <f t="shared" si="224"/>
        <v>0</v>
      </c>
      <c r="P674" s="287">
        <f t="shared" si="225"/>
        <v>0</v>
      </c>
      <c r="Q674" s="288"/>
      <c r="R674" s="243"/>
      <c r="S674" s="385" t="str">
        <f t="shared" si="211"/>
        <v/>
      </c>
    </row>
    <row r="675" spans="2:20" hidden="1">
      <c r="B675" s="609" t="s">
        <v>240</v>
      </c>
      <c r="C675" s="610" t="s">
        <v>212</v>
      </c>
      <c r="D675" s="611" t="s">
        <v>1022</v>
      </c>
      <c r="E675" s="602"/>
      <c r="F675" s="603">
        <v>20</v>
      </c>
      <c r="G675" s="604">
        <v>0.18</v>
      </c>
      <c r="H675" s="608">
        <f t="shared" si="226"/>
        <v>2.7809999999999997</v>
      </c>
      <c r="I675" s="675">
        <v>61.39</v>
      </c>
      <c r="J675" s="675">
        <f t="shared" si="223"/>
        <v>64.171000000000006</v>
      </c>
      <c r="K675" s="606">
        <f t="shared" si="192"/>
        <v>77.87</v>
      </c>
      <c r="L675" s="607" t="s">
        <v>18</v>
      </c>
      <c r="M675" s="30"/>
      <c r="N675" s="30"/>
      <c r="O675" s="287">
        <f t="shared" si="224"/>
        <v>0</v>
      </c>
      <c r="P675" s="287">
        <f t="shared" si="225"/>
        <v>0</v>
      </c>
      <c r="Q675" s="288"/>
      <c r="R675" s="243"/>
      <c r="S675" s="385" t="str">
        <f t="shared" si="211"/>
        <v/>
      </c>
    </row>
    <row r="676" spans="2:20" hidden="1">
      <c r="B676" s="609" t="s">
        <v>1833</v>
      </c>
      <c r="C676" s="610" t="s">
        <v>212</v>
      </c>
      <c r="D676" s="611" t="s">
        <v>1023</v>
      </c>
      <c r="E676" s="602"/>
      <c r="F676" s="603">
        <v>20</v>
      </c>
      <c r="G676" s="604">
        <v>0.22</v>
      </c>
      <c r="H676" s="608">
        <f t="shared" si="226"/>
        <v>3.399</v>
      </c>
      <c r="I676" s="675">
        <v>63.283183908045977</v>
      </c>
      <c r="J676" s="675">
        <f t="shared" si="223"/>
        <v>66.682183908045971</v>
      </c>
      <c r="K676" s="606">
        <f t="shared" si="192"/>
        <v>80.92</v>
      </c>
      <c r="L676" s="607" t="s">
        <v>18</v>
      </c>
      <c r="M676" s="30"/>
      <c r="N676" s="30"/>
      <c r="O676" s="287">
        <f t="shared" si="224"/>
        <v>0</v>
      </c>
      <c r="P676" s="287">
        <f t="shared" si="225"/>
        <v>0</v>
      </c>
      <c r="Q676" s="288"/>
      <c r="R676" s="243"/>
      <c r="S676" s="385" t="str">
        <f t="shared" si="211"/>
        <v/>
      </c>
    </row>
    <row r="677" spans="2:20" hidden="1">
      <c r="B677" s="609" t="s">
        <v>1834</v>
      </c>
      <c r="C677" s="610" t="s">
        <v>212</v>
      </c>
      <c r="D677" s="611" t="s">
        <v>1024</v>
      </c>
      <c r="E677" s="602"/>
      <c r="F677" s="603">
        <v>20</v>
      </c>
      <c r="G677" s="604">
        <v>0.22</v>
      </c>
      <c r="H677" s="608">
        <f t="shared" si="226"/>
        <v>3.399</v>
      </c>
      <c r="I677" s="675">
        <v>69.61</v>
      </c>
      <c r="J677" s="675">
        <f t="shared" si="223"/>
        <v>73.009</v>
      </c>
      <c r="K677" s="606">
        <f t="shared" si="192"/>
        <v>88.6</v>
      </c>
      <c r="L677" s="607" t="s">
        <v>18</v>
      </c>
      <c r="M677" s="30"/>
      <c r="N677" s="30"/>
      <c r="O677" s="287">
        <f t="shared" si="224"/>
        <v>0</v>
      </c>
      <c r="P677" s="287">
        <f t="shared" si="225"/>
        <v>0</v>
      </c>
      <c r="Q677" s="288"/>
      <c r="R677" s="243"/>
      <c r="S677" s="385" t="str">
        <f t="shared" si="211"/>
        <v/>
      </c>
    </row>
    <row r="678" spans="2:20" hidden="1">
      <c r="B678" s="609" t="s">
        <v>1835</v>
      </c>
      <c r="C678" s="610" t="s">
        <v>843</v>
      </c>
      <c r="D678" s="611" t="s">
        <v>1025</v>
      </c>
      <c r="E678" s="602"/>
      <c r="F678" s="603">
        <v>20</v>
      </c>
      <c r="G678" s="604">
        <v>0.3</v>
      </c>
      <c r="H678" s="605">
        <f t="shared" si="226"/>
        <v>4.6349999999999998</v>
      </c>
      <c r="I678" s="675">
        <v>120.01</v>
      </c>
      <c r="J678" s="675">
        <f t="shared" si="223"/>
        <v>124.64500000000001</v>
      </c>
      <c r="K678" s="606">
        <f t="shared" si="192"/>
        <v>151.26</v>
      </c>
      <c r="L678" s="607" t="s">
        <v>18</v>
      </c>
      <c r="M678" s="30"/>
      <c r="N678" s="30"/>
      <c r="O678" s="287">
        <f t="shared" si="224"/>
        <v>0</v>
      </c>
      <c r="P678" s="287">
        <f t="shared" si="225"/>
        <v>0</v>
      </c>
      <c r="Q678" s="288"/>
      <c r="R678" s="243"/>
      <c r="S678" s="385" t="str">
        <f t="shared" si="211"/>
        <v/>
      </c>
    </row>
    <row r="679" spans="2:20" hidden="1">
      <c r="B679" s="609">
        <v>98509</v>
      </c>
      <c r="C679" s="610" t="s">
        <v>843</v>
      </c>
      <c r="D679" s="611" t="s">
        <v>1051</v>
      </c>
      <c r="E679" s="602"/>
      <c r="F679" s="603"/>
      <c r="G679" s="604"/>
      <c r="H679" s="605">
        <v>0</v>
      </c>
      <c r="I679" s="675">
        <v>23.96</v>
      </c>
      <c r="J679" s="675">
        <f t="shared" si="223"/>
        <v>23.96</v>
      </c>
      <c r="K679" s="606">
        <f t="shared" si="192"/>
        <v>29.08</v>
      </c>
      <c r="L679" s="607" t="s">
        <v>18</v>
      </c>
      <c r="M679" s="30"/>
      <c r="N679" s="30"/>
      <c r="O679" s="287">
        <f t="shared" si="224"/>
        <v>0</v>
      </c>
      <c r="P679" s="287">
        <f t="shared" si="225"/>
        <v>0</v>
      </c>
      <c r="Q679" s="288"/>
      <c r="R679" s="243"/>
      <c r="S679" s="385" t="str">
        <f t="shared" si="211"/>
        <v/>
      </c>
    </row>
    <row r="680" spans="2:20" hidden="1">
      <c r="B680" s="609">
        <v>98510</v>
      </c>
      <c r="C680" s="610" t="s">
        <v>843</v>
      </c>
      <c r="D680" s="611" t="s">
        <v>1052</v>
      </c>
      <c r="E680" s="602"/>
      <c r="F680" s="603"/>
      <c r="G680" s="604"/>
      <c r="H680" s="605">
        <v>0</v>
      </c>
      <c r="I680" s="675">
        <v>44.02</v>
      </c>
      <c r="J680" s="675">
        <f t="shared" si="223"/>
        <v>44.02</v>
      </c>
      <c r="K680" s="606">
        <f t="shared" si="192"/>
        <v>53.42</v>
      </c>
      <c r="L680" s="607" t="s">
        <v>18</v>
      </c>
      <c r="M680" s="30"/>
      <c r="N680" s="30"/>
      <c r="O680" s="287">
        <f t="shared" si="224"/>
        <v>0</v>
      </c>
      <c r="P680" s="287">
        <f t="shared" si="225"/>
        <v>0</v>
      </c>
      <c r="Q680" s="288"/>
      <c r="R680" s="243"/>
      <c r="S680" s="385" t="str">
        <f t="shared" si="211"/>
        <v/>
      </c>
    </row>
    <row r="681" spans="2:20" hidden="1">
      <c r="B681" s="609">
        <v>98511</v>
      </c>
      <c r="C681" s="610" t="s">
        <v>843</v>
      </c>
      <c r="D681" s="611" t="s">
        <v>1053</v>
      </c>
      <c r="E681" s="602"/>
      <c r="F681" s="603"/>
      <c r="G681" s="604"/>
      <c r="H681" s="605">
        <v>0</v>
      </c>
      <c r="I681" s="675">
        <v>78.89</v>
      </c>
      <c r="J681" s="675">
        <f t="shared" ref="J681:J682" si="227">IF(ISBLANK(I681),"",SUM(H681:I681))</f>
        <v>78.89</v>
      </c>
      <c r="K681" s="606">
        <f t="shared" si="192"/>
        <v>95.73</v>
      </c>
      <c r="L681" s="607" t="s">
        <v>18</v>
      </c>
      <c r="M681" s="30"/>
      <c r="N681" s="30"/>
      <c r="O681" s="287">
        <f t="shared" si="224"/>
        <v>0</v>
      </c>
      <c r="P681" s="287">
        <f t="shared" si="225"/>
        <v>0</v>
      </c>
      <c r="Q681" s="288"/>
      <c r="R681" s="243"/>
      <c r="S681" s="385" t="str">
        <f t="shared" si="211"/>
        <v/>
      </c>
    </row>
    <row r="682" spans="2:20" hidden="1">
      <c r="B682" s="609">
        <v>98516</v>
      </c>
      <c r="C682" s="610" t="s">
        <v>843</v>
      </c>
      <c r="D682" s="611" t="s">
        <v>1054</v>
      </c>
      <c r="E682" s="602"/>
      <c r="F682" s="603"/>
      <c r="G682" s="604"/>
      <c r="H682" s="605">
        <v>0</v>
      </c>
      <c r="I682" s="675">
        <v>252.82</v>
      </c>
      <c r="J682" s="675">
        <f t="shared" si="227"/>
        <v>252.82</v>
      </c>
      <c r="K682" s="606">
        <f t="shared" si="192"/>
        <v>306.8</v>
      </c>
      <c r="L682" s="607" t="s">
        <v>18</v>
      </c>
      <c r="M682" s="30"/>
      <c r="N682" s="30"/>
      <c r="O682" s="287">
        <f t="shared" si="224"/>
        <v>0</v>
      </c>
      <c r="P682" s="287">
        <f t="shared" si="225"/>
        <v>0</v>
      </c>
      <c r="Q682" s="288"/>
      <c r="R682" s="243"/>
      <c r="S682" s="385" t="str">
        <f t="shared" si="211"/>
        <v/>
      </c>
    </row>
    <row r="683" spans="2:20" hidden="1">
      <c r="B683" s="609">
        <v>98504</v>
      </c>
      <c r="C683" s="610" t="s">
        <v>843</v>
      </c>
      <c r="D683" s="611" t="s">
        <v>527</v>
      </c>
      <c r="E683" s="602"/>
      <c r="F683" s="603"/>
      <c r="G683" s="604"/>
      <c r="H683" s="605">
        <v>0</v>
      </c>
      <c r="I683" s="675">
        <v>10.76</v>
      </c>
      <c r="J683" s="675">
        <f t="shared" si="223"/>
        <v>10.76</v>
      </c>
      <c r="K683" s="606">
        <f t="shared" si="192"/>
        <v>13.06</v>
      </c>
      <c r="L683" s="607" t="s">
        <v>18</v>
      </c>
      <c r="M683" s="30"/>
      <c r="N683" s="30"/>
      <c r="O683" s="287">
        <f t="shared" si="224"/>
        <v>0</v>
      </c>
      <c r="P683" s="287">
        <f t="shared" si="225"/>
        <v>0</v>
      </c>
      <c r="Q683" s="288"/>
      <c r="R683" s="243"/>
      <c r="S683" s="385" t="str">
        <f t="shared" si="211"/>
        <v/>
      </c>
    </row>
    <row r="684" spans="2:20" hidden="1">
      <c r="B684" s="609">
        <v>98505</v>
      </c>
      <c r="C684" s="610" t="s">
        <v>843</v>
      </c>
      <c r="D684" s="611" t="s">
        <v>1055</v>
      </c>
      <c r="E684" s="602"/>
      <c r="F684" s="603"/>
      <c r="G684" s="604"/>
      <c r="H684" s="605">
        <v>0</v>
      </c>
      <c r="I684" s="675">
        <v>35.36</v>
      </c>
      <c r="J684" s="675">
        <f t="shared" si="223"/>
        <v>35.36</v>
      </c>
      <c r="K684" s="606">
        <f t="shared" si="192"/>
        <v>42.91</v>
      </c>
      <c r="L684" s="607" t="s">
        <v>18</v>
      </c>
      <c r="M684" s="30"/>
      <c r="N684" s="30"/>
      <c r="O684" s="287">
        <f t="shared" si="224"/>
        <v>0</v>
      </c>
      <c r="P684" s="287">
        <f t="shared" si="225"/>
        <v>0</v>
      </c>
      <c r="Q684" s="288"/>
      <c r="R684" s="243"/>
      <c r="S684" s="385" t="str">
        <f t="shared" si="211"/>
        <v/>
      </c>
    </row>
    <row r="685" spans="2:20" hidden="1">
      <c r="B685" s="609">
        <v>800000</v>
      </c>
      <c r="C685" s="610" t="s">
        <v>212</v>
      </c>
      <c r="D685" s="611" t="s">
        <v>528</v>
      </c>
      <c r="E685" s="602"/>
      <c r="F685" s="603"/>
      <c r="G685" s="604"/>
      <c r="H685" s="605">
        <v>0</v>
      </c>
      <c r="I685" s="675">
        <v>9.4499999999999993</v>
      </c>
      <c r="J685" s="675">
        <f t="shared" ref="J685" si="228">IF(ISBLANK(I685),"",SUM(H685:I685))</f>
        <v>9.4499999999999993</v>
      </c>
      <c r="K685" s="606">
        <f t="shared" si="192"/>
        <v>11.47</v>
      </c>
      <c r="L685" s="607" t="s">
        <v>18</v>
      </c>
      <c r="M685" s="30"/>
      <c r="N685" s="30"/>
      <c r="O685" s="287">
        <f t="shared" si="224"/>
        <v>0</v>
      </c>
      <c r="P685" s="287">
        <f t="shared" si="225"/>
        <v>0</v>
      </c>
      <c r="Q685" s="288"/>
      <c r="R685" s="243"/>
      <c r="S685" s="385" t="str">
        <f t="shared" si="211"/>
        <v/>
      </c>
    </row>
    <row r="686" spans="2:20" hidden="1">
      <c r="B686" s="609" t="s">
        <v>325</v>
      </c>
      <c r="C686" s="610" t="s">
        <v>212</v>
      </c>
      <c r="D686" s="611" t="s">
        <v>308</v>
      </c>
      <c r="E686" s="602"/>
      <c r="F686" s="603"/>
      <c r="G686" s="604"/>
      <c r="H686" s="605"/>
      <c r="I686" s="675">
        <v>0</v>
      </c>
      <c r="J686" s="675">
        <f t="shared" si="223"/>
        <v>0</v>
      </c>
      <c r="K686" s="606">
        <f t="shared" si="192"/>
        <v>0</v>
      </c>
      <c r="L686" s="607" t="s">
        <v>18</v>
      </c>
      <c r="M686" s="30"/>
      <c r="N686" s="30"/>
      <c r="O686" s="287">
        <f t="shared" si="224"/>
        <v>0</v>
      </c>
      <c r="P686" s="287">
        <f t="shared" si="225"/>
        <v>0</v>
      </c>
      <c r="Q686" s="288"/>
      <c r="R686" s="243"/>
      <c r="S686" s="385" t="str">
        <f t="shared" si="211"/>
        <v/>
      </c>
    </row>
    <row r="687" spans="2:20" hidden="1">
      <c r="B687" s="609" t="s">
        <v>1997</v>
      </c>
      <c r="C687" s="610" t="s">
        <v>212</v>
      </c>
      <c r="D687" s="611" t="s">
        <v>309</v>
      </c>
      <c r="E687" s="602"/>
      <c r="F687" s="603"/>
      <c r="G687" s="604"/>
      <c r="H687" s="605"/>
      <c r="I687" s="675">
        <v>367.37984359516616</v>
      </c>
      <c r="J687" s="675">
        <f t="shared" si="223"/>
        <v>367.37984359516616</v>
      </c>
      <c r="K687" s="606">
        <f t="shared" si="192"/>
        <v>445.82</v>
      </c>
      <c r="L687" s="607" t="s">
        <v>18</v>
      </c>
      <c r="M687" s="30"/>
      <c r="N687" s="30"/>
      <c r="O687" s="287">
        <f t="shared" si="224"/>
        <v>0</v>
      </c>
      <c r="P687" s="287">
        <f t="shared" si="225"/>
        <v>0</v>
      </c>
      <c r="Q687" s="288"/>
      <c r="R687" s="243"/>
      <c r="S687" s="385" t="str">
        <f t="shared" si="211"/>
        <v/>
      </c>
    </row>
    <row r="688" spans="2:20" ht="13.5" thickBot="1">
      <c r="B688" s="609" t="s">
        <v>1998</v>
      </c>
      <c r="C688" s="610" t="s">
        <v>212</v>
      </c>
      <c r="D688" s="611" t="s">
        <v>310</v>
      </c>
      <c r="E688" s="602"/>
      <c r="F688" s="603"/>
      <c r="G688" s="604"/>
      <c r="H688" s="605"/>
      <c r="I688" s="675">
        <v>443.34562099999999</v>
      </c>
      <c r="J688" s="675">
        <f t="shared" si="223"/>
        <v>443.34562099999999</v>
      </c>
      <c r="K688" s="606">
        <f t="shared" si="192"/>
        <v>538</v>
      </c>
      <c r="L688" s="607" t="s">
        <v>21</v>
      </c>
      <c r="M688" s="30">
        <v>8</v>
      </c>
      <c r="N688" s="30">
        <v>538</v>
      </c>
      <c r="O688" s="287">
        <f t="shared" si="224"/>
        <v>4304</v>
      </c>
      <c r="P688" s="287">
        <f t="shared" si="225"/>
        <v>4304</v>
      </c>
      <c r="Q688" s="288"/>
      <c r="R688" s="243" t="s">
        <v>174</v>
      </c>
      <c r="S688" s="385" t="str">
        <f t="shared" si="211"/>
        <v>x</v>
      </c>
      <c r="T688" s="3" t="s">
        <v>174</v>
      </c>
    </row>
    <row r="689" spans="2:19" ht="13.5" hidden="1" thickBot="1">
      <c r="B689" s="609" t="s">
        <v>1999</v>
      </c>
      <c r="C689" s="610" t="s">
        <v>212</v>
      </c>
      <c r="D689" s="611" t="s">
        <v>311</v>
      </c>
      <c r="E689" s="602"/>
      <c r="F689" s="603"/>
      <c r="G689" s="604"/>
      <c r="H689" s="605"/>
      <c r="I689" s="675">
        <v>367.37984359516616</v>
      </c>
      <c r="J689" s="675">
        <f t="shared" si="223"/>
        <v>367.37984359516616</v>
      </c>
      <c r="K689" s="606">
        <f t="shared" si="192"/>
        <v>445.82</v>
      </c>
      <c r="L689" s="607" t="s">
        <v>21</v>
      </c>
      <c r="M689" s="30"/>
      <c r="N689" s="30"/>
      <c r="O689" s="287">
        <f t="shared" si="224"/>
        <v>0</v>
      </c>
      <c r="P689" s="287">
        <f t="shared" si="225"/>
        <v>0</v>
      </c>
      <c r="Q689" s="288"/>
      <c r="R689" s="243"/>
      <c r="S689" s="385" t="str">
        <f t="shared" si="211"/>
        <v/>
      </c>
    </row>
    <row r="690" spans="2:19" ht="13.5" hidden="1" thickBot="1">
      <c r="B690" s="609" t="s">
        <v>2000</v>
      </c>
      <c r="C690" s="610" t="s">
        <v>212</v>
      </c>
      <c r="D690" s="611" t="s">
        <v>312</v>
      </c>
      <c r="E690" s="602"/>
      <c r="F690" s="603"/>
      <c r="G690" s="604"/>
      <c r="H690" s="605"/>
      <c r="I690" s="675">
        <v>485.74398942296079</v>
      </c>
      <c r="J690" s="675">
        <f t="shared" si="223"/>
        <v>485.74398942296079</v>
      </c>
      <c r="K690" s="606">
        <f t="shared" si="192"/>
        <v>589.45000000000005</v>
      </c>
      <c r="L690" s="607" t="s">
        <v>21</v>
      </c>
      <c r="M690" s="30"/>
      <c r="N690" s="30"/>
      <c r="O690" s="287">
        <f t="shared" si="224"/>
        <v>0</v>
      </c>
      <c r="P690" s="287">
        <f t="shared" si="225"/>
        <v>0</v>
      </c>
      <c r="Q690" s="288"/>
      <c r="R690" s="243"/>
      <c r="S690" s="385" t="str">
        <f t="shared" si="211"/>
        <v/>
      </c>
    </row>
    <row r="691" spans="2:19" ht="13.5" hidden="1" thickBot="1">
      <c r="B691" s="609" t="s">
        <v>2001</v>
      </c>
      <c r="C691" s="610" t="s">
        <v>212</v>
      </c>
      <c r="D691" s="611" t="s">
        <v>313</v>
      </c>
      <c r="E691" s="602"/>
      <c r="F691" s="603"/>
      <c r="G691" s="604"/>
      <c r="H691" s="605"/>
      <c r="I691" s="675">
        <v>423.21471830211482</v>
      </c>
      <c r="J691" s="675">
        <f t="shared" si="223"/>
        <v>423.21471830211482</v>
      </c>
      <c r="K691" s="606">
        <f t="shared" si="192"/>
        <v>513.57000000000005</v>
      </c>
      <c r="L691" s="607" t="s">
        <v>18</v>
      </c>
      <c r="M691" s="30"/>
      <c r="N691" s="30"/>
      <c r="O691" s="287">
        <f t="shared" si="224"/>
        <v>0</v>
      </c>
      <c r="P691" s="287">
        <f t="shared" si="225"/>
        <v>0</v>
      </c>
      <c r="Q691" s="288"/>
      <c r="R691" s="243"/>
      <c r="S691" s="385" t="str">
        <f t="shared" si="211"/>
        <v/>
      </c>
    </row>
    <row r="692" spans="2:19" ht="13.5" hidden="1" thickBot="1">
      <c r="B692" s="624" t="s">
        <v>187</v>
      </c>
      <c r="C692" s="393"/>
      <c r="D692" s="394" t="s">
        <v>2095</v>
      </c>
      <c r="E692" s="395"/>
      <c r="F692" s="396"/>
      <c r="G692" s="397"/>
      <c r="H692" s="398"/>
      <c r="I692" s="399"/>
      <c r="J692" s="399"/>
      <c r="K692" s="399"/>
      <c r="L692" s="399" t="s">
        <v>777</v>
      </c>
      <c r="M692" s="398"/>
      <c r="N692" s="399"/>
      <c r="O692" s="399"/>
      <c r="P692" s="400"/>
      <c r="Q692" s="288"/>
      <c r="R692" s="384" t="str">
        <f>IF(SUM(P693:P724)&gt;0,"y","")</f>
        <v/>
      </c>
      <c r="S692" s="385" t="str">
        <f t="shared" si="211"/>
        <v/>
      </c>
    </row>
    <row r="693" spans="2:19" ht="13.5" hidden="1" thickBot="1">
      <c r="B693" s="625" t="s">
        <v>187</v>
      </c>
      <c r="C693" s="401" t="s">
        <v>187</v>
      </c>
      <c r="D693" s="402"/>
      <c r="E693" s="403"/>
      <c r="F693" s="411"/>
      <c r="G693" s="405"/>
      <c r="H693" s="404"/>
      <c r="I693" s="406"/>
      <c r="J693" s="407"/>
      <c r="K693" s="408">
        <f t="shared" ref="K693:K724" si="229">IF(ISBLANK(J693),0,ROUND(J693*(1+$F$10)*(1+$F$11*E693),2))</f>
        <v>0</v>
      </c>
      <c r="L693" s="409" t="s">
        <v>777</v>
      </c>
      <c r="M693" s="425"/>
      <c r="N693" s="425"/>
      <c r="O693" s="287">
        <f t="shared" ref="O693" si="230">IF(ISBLANK(M693),0,ROUND(K693*M693,2))</f>
        <v>0</v>
      </c>
      <c r="P693" s="391">
        <f t="shared" ref="P693:P724" si="231">IF(ISBLANK(N693),0,ROUND(M693*N693,2))</f>
        <v>0</v>
      </c>
      <c r="Q693" s="288"/>
      <c r="R693" s="243"/>
      <c r="S693" s="385" t="str">
        <f t="shared" si="211"/>
        <v/>
      </c>
    </row>
    <row r="694" spans="2:19" ht="13.5" hidden="1" thickBot="1">
      <c r="B694" s="625" t="s">
        <v>187</v>
      </c>
      <c r="C694" s="401" t="s">
        <v>187</v>
      </c>
      <c r="D694" s="410"/>
      <c r="E694" s="403"/>
      <c r="F694" s="411"/>
      <c r="G694" s="405"/>
      <c r="H694" s="404"/>
      <c r="I694" s="406"/>
      <c r="J694" s="407"/>
      <c r="K694" s="412">
        <f t="shared" si="229"/>
        <v>0</v>
      </c>
      <c r="L694" s="409" t="s">
        <v>777</v>
      </c>
      <c r="M694" s="30"/>
      <c r="N694" s="30"/>
      <c r="O694" s="287">
        <f>IF(ISBLANK(M694),0,ROUND(K694*M694,2))</f>
        <v>0</v>
      </c>
      <c r="P694" s="287">
        <f t="shared" si="231"/>
        <v>0</v>
      </c>
      <c r="Q694" s="288"/>
      <c r="R694" s="243"/>
      <c r="S694" s="385" t="str">
        <f t="shared" si="211"/>
        <v/>
      </c>
    </row>
    <row r="695" spans="2:19" ht="13.5" hidden="1" thickBot="1">
      <c r="B695" s="625" t="s">
        <v>187</v>
      </c>
      <c r="C695" s="401" t="s">
        <v>187</v>
      </c>
      <c r="D695" s="410"/>
      <c r="E695" s="403"/>
      <c r="F695" s="411"/>
      <c r="G695" s="405"/>
      <c r="H695" s="404"/>
      <c r="I695" s="406"/>
      <c r="J695" s="407"/>
      <c r="K695" s="412">
        <f t="shared" si="229"/>
        <v>0</v>
      </c>
      <c r="L695" s="409" t="s">
        <v>777</v>
      </c>
      <c r="M695" s="30"/>
      <c r="N695" s="30"/>
      <c r="O695" s="287">
        <f t="shared" ref="O695:O724" si="232">IF(ISBLANK(M695),0,ROUND(K695*M695,2))</f>
        <v>0</v>
      </c>
      <c r="P695" s="287">
        <f t="shared" si="231"/>
        <v>0</v>
      </c>
      <c r="Q695" s="288"/>
      <c r="R695" s="243"/>
      <c r="S695" s="385" t="str">
        <f t="shared" si="211"/>
        <v/>
      </c>
    </row>
    <row r="696" spans="2:19" ht="13.5" hidden="1" thickBot="1">
      <c r="B696" s="625" t="s">
        <v>187</v>
      </c>
      <c r="C696" s="401" t="s">
        <v>187</v>
      </c>
      <c r="D696" s="410"/>
      <c r="E696" s="403"/>
      <c r="F696" s="411"/>
      <c r="G696" s="405"/>
      <c r="H696" s="404"/>
      <c r="I696" s="406"/>
      <c r="J696" s="407"/>
      <c r="K696" s="412">
        <f t="shared" si="229"/>
        <v>0</v>
      </c>
      <c r="L696" s="409" t="s">
        <v>777</v>
      </c>
      <c r="M696" s="30"/>
      <c r="N696" s="30"/>
      <c r="O696" s="287">
        <f t="shared" si="232"/>
        <v>0</v>
      </c>
      <c r="P696" s="287">
        <f t="shared" si="231"/>
        <v>0</v>
      </c>
      <c r="Q696" s="288"/>
      <c r="R696" s="243"/>
      <c r="S696" s="385" t="str">
        <f t="shared" si="211"/>
        <v/>
      </c>
    </row>
    <row r="697" spans="2:19" ht="13.5" hidden="1" thickBot="1">
      <c r="B697" s="625" t="s">
        <v>187</v>
      </c>
      <c r="C697" s="401" t="s">
        <v>187</v>
      </c>
      <c r="D697" s="410"/>
      <c r="E697" s="403"/>
      <c r="F697" s="411"/>
      <c r="G697" s="405"/>
      <c r="H697" s="404"/>
      <c r="I697" s="406"/>
      <c r="J697" s="407"/>
      <c r="K697" s="412">
        <f t="shared" si="229"/>
        <v>0</v>
      </c>
      <c r="L697" s="409" t="s">
        <v>777</v>
      </c>
      <c r="M697" s="30"/>
      <c r="N697" s="30"/>
      <c r="O697" s="287">
        <f t="shared" si="232"/>
        <v>0</v>
      </c>
      <c r="P697" s="287">
        <f t="shared" si="231"/>
        <v>0</v>
      </c>
      <c r="Q697" s="288"/>
      <c r="R697" s="243"/>
      <c r="S697" s="385" t="str">
        <f t="shared" si="211"/>
        <v/>
      </c>
    </row>
    <row r="698" spans="2:19" ht="13.5" hidden="1" thickBot="1">
      <c r="B698" s="625" t="s">
        <v>187</v>
      </c>
      <c r="C698" s="401" t="s">
        <v>187</v>
      </c>
      <c r="D698" s="410"/>
      <c r="E698" s="403"/>
      <c r="F698" s="411"/>
      <c r="G698" s="405"/>
      <c r="H698" s="404"/>
      <c r="I698" s="406"/>
      <c r="J698" s="407"/>
      <c r="K698" s="412">
        <f t="shared" si="229"/>
        <v>0</v>
      </c>
      <c r="L698" s="409" t="s">
        <v>777</v>
      </c>
      <c r="M698" s="30"/>
      <c r="N698" s="30"/>
      <c r="O698" s="287">
        <f t="shared" si="232"/>
        <v>0</v>
      </c>
      <c r="P698" s="287">
        <f t="shared" si="231"/>
        <v>0</v>
      </c>
      <c r="Q698" s="288"/>
      <c r="R698" s="243"/>
      <c r="S698" s="385" t="str">
        <f t="shared" si="211"/>
        <v/>
      </c>
    </row>
    <row r="699" spans="2:19" ht="13.5" hidden="1" thickBot="1">
      <c r="B699" s="625" t="s">
        <v>187</v>
      </c>
      <c r="C699" s="401" t="s">
        <v>187</v>
      </c>
      <c r="D699" s="410"/>
      <c r="E699" s="403"/>
      <c r="F699" s="411"/>
      <c r="G699" s="405"/>
      <c r="H699" s="404"/>
      <c r="I699" s="406"/>
      <c r="J699" s="407"/>
      <c r="K699" s="412">
        <f t="shared" si="229"/>
        <v>0</v>
      </c>
      <c r="L699" s="409" t="s">
        <v>777</v>
      </c>
      <c r="M699" s="30"/>
      <c r="N699" s="30"/>
      <c r="O699" s="287">
        <f t="shared" si="232"/>
        <v>0</v>
      </c>
      <c r="P699" s="287">
        <f t="shared" si="231"/>
        <v>0</v>
      </c>
      <c r="Q699" s="288"/>
      <c r="R699" s="243"/>
      <c r="S699" s="385" t="str">
        <f t="shared" si="211"/>
        <v/>
      </c>
    </row>
    <row r="700" spans="2:19" ht="13.5" hidden="1" thickBot="1">
      <c r="B700" s="625" t="s">
        <v>187</v>
      </c>
      <c r="C700" s="401" t="s">
        <v>187</v>
      </c>
      <c r="D700" s="410"/>
      <c r="E700" s="403"/>
      <c r="F700" s="411"/>
      <c r="G700" s="405"/>
      <c r="H700" s="404"/>
      <c r="I700" s="406"/>
      <c r="J700" s="407"/>
      <c r="K700" s="412">
        <f t="shared" si="229"/>
        <v>0</v>
      </c>
      <c r="L700" s="409" t="s">
        <v>777</v>
      </c>
      <c r="M700" s="30"/>
      <c r="N700" s="30"/>
      <c r="O700" s="287">
        <f t="shared" si="232"/>
        <v>0</v>
      </c>
      <c r="P700" s="287">
        <f t="shared" si="231"/>
        <v>0</v>
      </c>
      <c r="Q700" s="288"/>
      <c r="R700" s="243"/>
      <c r="S700" s="385" t="str">
        <f t="shared" ref="S700:S763" si="233">IF(R700="x","x",IF(R700="y","x",IF(R700="xy","x",IF(P700&gt;0,"x",""))))</f>
        <v/>
      </c>
    </row>
    <row r="701" spans="2:19" ht="13.5" hidden="1" thickBot="1">
      <c r="B701" s="625" t="s">
        <v>187</v>
      </c>
      <c r="C701" s="401" t="s">
        <v>187</v>
      </c>
      <c r="D701" s="410"/>
      <c r="E701" s="403"/>
      <c r="F701" s="411"/>
      <c r="G701" s="405"/>
      <c r="H701" s="404"/>
      <c r="I701" s="406"/>
      <c r="J701" s="407"/>
      <c r="K701" s="412">
        <f t="shared" si="229"/>
        <v>0</v>
      </c>
      <c r="L701" s="409" t="s">
        <v>777</v>
      </c>
      <c r="M701" s="30"/>
      <c r="N701" s="30"/>
      <c r="O701" s="287">
        <f t="shared" si="232"/>
        <v>0</v>
      </c>
      <c r="P701" s="287">
        <f t="shared" si="231"/>
        <v>0</v>
      </c>
      <c r="Q701" s="288"/>
      <c r="R701" s="243"/>
      <c r="S701" s="385" t="str">
        <f t="shared" si="233"/>
        <v/>
      </c>
    </row>
    <row r="702" spans="2:19" ht="13.5" hidden="1" thickBot="1">
      <c r="B702" s="625" t="s">
        <v>187</v>
      </c>
      <c r="C702" s="401" t="s">
        <v>187</v>
      </c>
      <c r="D702" s="410"/>
      <c r="E702" s="403"/>
      <c r="F702" s="411"/>
      <c r="G702" s="405"/>
      <c r="H702" s="404"/>
      <c r="I702" s="406"/>
      <c r="J702" s="407"/>
      <c r="K702" s="412">
        <f t="shared" si="229"/>
        <v>0</v>
      </c>
      <c r="L702" s="409" t="s">
        <v>777</v>
      </c>
      <c r="M702" s="30"/>
      <c r="N702" s="30"/>
      <c r="O702" s="287">
        <f t="shared" si="232"/>
        <v>0</v>
      </c>
      <c r="P702" s="287">
        <f t="shared" si="231"/>
        <v>0</v>
      </c>
      <c r="Q702" s="288"/>
      <c r="R702" s="243"/>
      <c r="S702" s="385" t="str">
        <f t="shared" si="233"/>
        <v/>
      </c>
    </row>
    <row r="703" spans="2:19" ht="13.5" hidden="1" thickBot="1">
      <c r="B703" s="625" t="s">
        <v>187</v>
      </c>
      <c r="C703" s="401" t="s">
        <v>187</v>
      </c>
      <c r="D703" s="410"/>
      <c r="E703" s="403"/>
      <c r="F703" s="411"/>
      <c r="G703" s="405"/>
      <c r="H703" s="404"/>
      <c r="I703" s="406"/>
      <c r="J703" s="407"/>
      <c r="K703" s="412">
        <f t="shared" si="229"/>
        <v>0</v>
      </c>
      <c r="L703" s="409" t="s">
        <v>777</v>
      </c>
      <c r="M703" s="30"/>
      <c r="N703" s="30"/>
      <c r="O703" s="287">
        <f t="shared" si="232"/>
        <v>0</v>
      </c>
      <c r="P703" s="287">
        <f t="shared" si="231"/>
        <v>0</v>
      </c>
      <c r="Q703" s="288"/>
      <c r="R703" s="243"/>
      <c r="S703" s="385" t="str">
        <f t="shared" si="233"/>
        <v/>
      </c>
    </row>
    <row r="704" spans="2:19" ht="13.5" hidden="1" thickBot="1">
      <c r="B704" s="625" t="s">
        <v>187</v>
      </c>
      <c r="C704" s="401" t="s">
        <v>187</v>
      </c>
      <c r="D704" s="410"/>
      <c r="E704" s="403"/>
      <c r="F704" s="411"/>
      <c r="G704" s="405"/>
      <c r="H704" s="404"/>
      <c r="I704" s="406"/>
      <c r="J704" s="407"/>
      <c r="K704" s="412">
        <f t="shared" si="229"/>
        <v>0</v>
      </c>
      <c r="L704" s="409" t="s">
        <v>777</v>
      </c>
      <c r="M704" s="30"/>
      <c r="N704" s="30"/>
      <c r="O704" s="287">
        <f t="shared" si="232"/>
        <v>0</v>
      </c>
      <c r="P704" s="287">
        <f t="shared" si="231"/>
        <v>0</v>
      </c>
      <c r="Q704" s="288"/>
      <c r="R704" s="243"/>
      <c r="S704" s="385" t="str">
        <f t="shared" si="233"/>
        <v/>
      </c>
    </row>
    <row r="705" spans="2:19" ht="13.5" hidden="1" thickBot="1">
      <c r="B705" s="625" t="s">
        <v>187</v>
      </c>
      <c r="C705" s="401" t="s">
        <v>187</v>
      </c>
      <c r="D705" s="410"/>
      <c r="E705" s="403"/>
      <c r="F705" s="411"/>
      <c r="G705" s="405"/>
      <c r="H705" s="404"/>
      <c r="I705" s="406"/>
      <c r="J705" s="407"/>
      <c r="K705" s="412">
        <f t="shared" si="229"/>
        <v>0</v>
      </c>
      <c r="L705" s="409" t="s">
        <v>777</v>
      </c>
      <c r="M705" s="30"/>
      <c r="N705" s="30"/>
      <c r="O705" s="287">
        <f t="shared" si="232"/>
        <v>0</v>
      </c>
      <c r="P705" s="287">
        <f t="shared" si="231"/>
        <v>0</v>
      </c>
      <c r="Q705" s="288"/>
      <c r="R705" s="243"/>
      <c r="S705" s="385" t="str">
        <f t="shared" si="233"/>
        <v/>
      </c>
    </row>
    <row r="706" spans="2:19" ht="13.5" hidden="1" thickBot="1">
      <c r="B706" s="625" t="s">
        <v>187</v>
      </c>
      <c r="C706" s="401" t="s">
        <v>187</v>
      </c>
      <c r="D706" s="410"/>
      <c r="E706" s="403"/>
      <c r="F706" s="411"/>
      <c r="G706" s="405"/>
      <c r="H706" s="404"/>
      <c r="I706" s="406"/>
      <c r="J706" s="407"/>
      <c r="K706" s="412">
        <f t="shared" si="229"/>
        <v>0</v>
      </c>
      <c r="L706" s="409" t="s">
        <v>777</v>
      </c>
      <c r="M706" s="30"/>
      <c r="N706" s="30"/>
      <c r="O706" s="287">
        <f t="shared" si="232"/>
        <v>0</v>
      </c>
      <c r="P706" s="287">
        <f t="shared" si="231"/>
        <v>0</v>
      </c>
      <c r="Q706" s="288"/>
      <c r="R706" s="243"/>
      <c r="S706" s="385" t="str">
        <f t="shared" si="233"/>
        <v/>
      </c>
    </row>
    <row r="707" spans="2:19" ht="13.5" hidden="1" thickBot="1">
      <c r="B707" s="625" t="s">
        <v>187</v>
      </c>
      <c r="C707" s="401" t="s">
        <v>187</v>
      </c>
      <c r="D707" s="410"/>
      <c r="E707" s="403"/>
      <c r="F707" s="411"/>
      <c r="G707" s="405"/>
      <c r="H707" s="404"/>
      <c r="I707" s="406"/>
      <c r="J707" s="407"/>
      <c r="K707" s="412">
        <f t="shared" si="229"/>
        <v>0</v>
      </c>
      <c r="L707" s="409" t="s">
        <v>777</v>
      </c>
      <c r="M707" s="30"/>
      <c r="N707" s="30"/>
      <c r="O707" s="287">
        <f t="shared" si="232"/>
        <v>0</v>
      </c>
      <c r="P707" s="287">
        <f t="shared" si="231"/>
        <v>0</v>
      </c>
      <c r="Q707" s="288"/>
      <c r="R707" s="243"/>
      <c r="S707" s="385" t="str">
        <f t="shared" si="233"/>
        <v/>
      </c>
    </row>
    <row r="708" spans="2:19" ht="13.5" hidden="1" thickBot="1">
      <c r="B708" s="625" t="s">
        <v>187</v>
      </c>
      <c r="C708" s="401" t="s">
        <v>187</v>
      </c>
      <c r="D708" s="410"/>
      <c r="E708" s="403"/>
      <c r="F708" s="411"/>
      <c r="G708" s="405"/>
      <c r="H708" s="404"/>
      <c r="I708" s="406"/>
      <c r="J708" s="407"/>
      <c r="K708" s="412">
        <f t="shared" si="229"/>
        <v>0</v>
      </c>
      <c r="L708" s="409" t="s">
        <v>777</v>
      </c>
      <c r="M708" s="30"/>
      <c r="N708" s="30"/>
      <c r="O708" s="287">
        <f t="shared" si="232"/>
        <v>0</v>
      </c>
      <c r="P708" s="287">
        <f t="shared" si="231"/>
        <v>0</v>
      </c>
      <c r="Q708" s="288"/>
      <c r="R708" s="243"/>
      <c r="S708" s="385" t="str">
        <f t="shared" si="233"/>
        <v/>
      </c>
    </row>
    <row r="709" spans="2:19" ht="13.5" hidden="1" thickBot="1">
      <c r="B709" s="625" t="s">
        <v>187</v>
      </c>
      <c r="C709" s="401" t="s">
        <v>187</v>
      </c>
      <c r="D709" s="410"/>
      <c r="E709" s="403"/>
      <c r="F709" s="411"/>
      <c r="G709" s="405"/>
      <c r="H709" s="404"/>
      <c r="I709" s="406"/>
      <c r="J709" s="407"/>
      <c r="K709" s="412">
        <f t="shared" si="229"/>
        <v>0</v>
      </c>
      <c r="L709" s="409" t="s">
        <v>777</v>
      </c>
      <c r="M709" s="30"/>
      <c r="N709" s="30"/>
      <c r="O709" s="287">
        <f t="shared" si="232"/>
        <v>0</v>
      </c>
      <c r="P709" s="287">
        <f t="shared" si="231"/>
        <v>0</v>
      </c>
      <c r="Q709" s="288"/>
      <c r="R709" s="243"/>
      <c r="S709" s="385" t="str">
        <f t="shared" si="233"/>
        <v/>
      </c>
    </row>
    <row r="710" spans="2:19" ht="13.5" hidden="1" thickBot="1">
      <c r="B710" s="625" t="s">
        <v>187</v>
      </c>
      <c r="C710" s="401" t="s">
        <v>187</v>
      </c>
      <c r="D710" s="410"/>
      <c r="E710" s="403"/>
      <c r="F710" s="411"/>
      <c r="G710" s="405"/>
      <c r="H710" s="404"/>
      <c r="I710" s="406"/>
      <c r="J710" s="407"/>
      <c r="K710" s="412">
        <f t="shared" si="229"/>
        <v>0</v>
      </c>
      <c r="L710" s="409" t="s">
        <v>777</v>
      </c>
      <c r="M710" s="30"/>
      <c r="N710" s="30"/>
      <c r="O710" s="287">
        <f t="shared" si="232"/>
        <v>0</v>
      </c>
      <c r="P710" s="287">
        <f t="shared" si="231"/>
        <v>0</v>
      </c>
      <c r="Q710" s="288"/>
      <c r="R710" s="243"/>
      <c r="S710" s="385" t="str">
        <f t="shared" si="233"/>
        <v/>
      </c>
    </row>
    <row r="711" spans="2:19" ht="13.5" hidden="1" thickBot="1">
      <c r="B711" s="625" t="s">
        <v>187</v>
      </c>
      <c r="C711" s="401" t="s">
        <v>187</v>
      </c>
      <c r="D711" s="410"/>
      <c r="E711" s="403"/>
      <c r="F711" s="411"/>
      <c r="G711" s="405"/>
      <c r="H711" s="404"/>
      <c r="I711" s="406"/>
      <c r="J711" s="407"/>
      <c r="K711" s="412">
        <f t="shared" si="229"/>
        <v>0</v>
      </c>
      <c r="L711" s="409" t="s">
        <v>777</v>
      </c>
      <c r="M711" s="30"/>
      <c r="N711" s="30"/>
      <c r="O711" s="287">
        <f t="shared" si="232"/>
        <v>0</v>
      </c>
      <c r="P711" s="287">
        <f t="shared" si="231"/>
        <v>0</v>
      </c>
      <c r="Q711" s="288"/>
      <c r="R711" s="243"/>
      <c r="S711" s="385" t="str">
        <f t="shared" si="233"/>
        <v/>
      </c>
    </row>
    <row r="712" spans="2:19" ht="13.5" hidden="1" thickBot="1">
      <c r="B712" s="625" t="s">
        <v>187</v>
      </c>
      <c r="C712" s="401" t="s">
        <v>187</v>
      </c>
      <c r="D712" s="410"/>
      <c r="E712" s="403"/>
      <c r="F712" s="411"/>
      <c r="G712" s="405"/>
      <c r="H712" s="404"/>
      <c r="I712" s="406"/>
      <c r="J712" s="407"/>
      <c r="K712" s="412">
        <f t="shared" si="229"/>
        <v>0</v>
      </c>
      <c r="L712" s="409" t="s">
        <v>777</v>
      </c>
      <c r="M712" s="30"/>
      <c r="N712" s="30"/>
      <c r="O712" s="287">
        <f t="shared" si="232"/>
        <v>0</v>
      </c>
      <c r="P712" s="287">
        <f t="shared" si="231"/>
        <v>0</v>
      </c>
      <c r="Q712" s="288"/>
      <c r="R712" s="243"/>
      <c r="S712" s="385" t="str">
        <f t="shared" si="233"/>
        <v/>
      </c>
    </row>
    <row r="713" spans="2:19" ht="13.5" hidden="1" thickBot="1">
      <c r="B713" s="625" t="s">
        <v>187</v>
      </c>
      <c r="C713" s="401" t="s">
        <v>187</v>
      </c>
      <c r="D713" s="410"/>
      <c r="E713" s="403"/>
      <c r="F713" s="411"/>
      <c r="G713" s="405"/>
      <c r="H713" s="404"/>
      <c r="I713" s="406"/>
      <c r="J713" s="407"/>
      <c r="K713" s="412">
        <f t="shared" si="229"/>
        <v>0</v>
      </c>
      <c r="L713" s="409" t="s">
        <v>777</v>
      </c>
      <c r="M713" s="30"/>
      <c r="N713" s="30"/>
      <c r="O713" s="287">
        <f t="shared" si="232"/>
        <v>0</v>
      </c>
      <c r="P713" s="287">
        <f t="shared" si="231"/>
        <v>0</v>
      </c>
      <c r="Q713" s="288"/>
      <c r="R713" s="243"/>
      <c r="S713" s="385" t="str">
        <f t="shared" si="233"/>
        <v/>
      </c>
    </row>
    <row r="714" spans="2:19" ht="13.5" hidden="1" thickBot="1">
      <c r="B714" s="625" t="s">
        <v>187</v>
      </c>
      <c r="C714" s="401" t="s">
        <v>187</v>
      </c>
      <c r="D714" s="410"/>
      <c r="E714" s="403"/>
      <c r="F714" s="411"/>
      <c r="G714" s="405"/>
      <c r="H714" s="404"/>
      <c r="I714" s="406"/>
      <c r="J714" s="407"/>
      <c r="K714" s="412">
        <f t="shared" si="229"/>
        <v>0</v>
      </c>
      <c r="L714" s="409" t="s">
        <v>777</v>
      </c>
      <c r="M714" s="30"/>
      <c r="N714" s="30"/>
      <c r="O714" s="287">
        <f t="shared" si="232"/>
        <v>0</v>
      </c>
      <c r="P714" s="287">
        <f t="shared" si="231"/>
        <v>0</v>
      </c>
      <c r="Q714" s="288"/>
      <c r="R714" s="243"/>
      <c r="S714" s="385" t="str">
        <f t="shared" si="233"/>
        <v/>
      </c>
    </row>
    <row r="715" spans="2:19" ht="13.5" hidden="1" thickBot="1">
      <c r="B715" s="625" t="s">
        <v>187</v>
      </c>
      <c r="C715" s="401" t="s">
        <v>187</v>
      </c>
      <c r="D715" s="410"/>
      <c r="E715" s="403"/>
      <c r="F715" s="411"/>
      <c r="G715" s="405"/>
      <c r="H715" s="404"/>
      <c r="I715" s="406"/>
      <c r="J715" s="407"/>
      <c r="K715" s="412">
        <f t="shared" si="229"/>
        <v>0</v>
      </c>
      <c r="L715" s="409" t="s">
        <v>777</v>
      </c>
      <c r="M715" s="30"/>
      <c r="N715" s="30"/>
      <c r="O715" s="287">
        <f t="shared" si="232"/>
        <v>0</v>
      </c>
      <c r="P715" s="287">
        <f t="shared" si="231"/>
        <v>0</v>
      </c>
      <c r="Q715" s="288"/>
      <c r="R715" s="243"/>
      <c r="S715" s="385" t="str">
        <f t="shared" si="233"/>
        <v/>
      </c>
    </row>
    <row r="716" spans="2:19" ht="13.5" hidden="1" thickBot="1">
      <c r="B716" s="625" t="s">
        <v>187</v>
      </c>
      <c r="C716" s="401" t="s">
        <v>187</v>
      </c>
      <c r="D716" s="410"/>
      <c r="E716" s="403"/>
      <c r="F716" s="411"/>
      <c r="G716" s="405"/>
      <c r="H716" s="404"/>
      <c r="I716" s="406"/>
      <c r="J716" s="407"/>
      <c r="K716" s="412">
        <f t="shared" si="229"/>
        <v>0</v>
      </c>
      <c r="L716" s="409" t="s">
        <v>777</v>
      </c>
      <c r="M716" s="30"/>
      <c r="N716" s="30"/>
      <c r="O716" s="287">
        <f t="shared" si="232"/>
        <v>0</v>
      </c>
      <c r="P716" s="287">
        <f t="shared" si="231"/>
        <v>0</v>
      </c>
      <c r="Q716" s="288"/>
      <c r="R716" s="243"/>
      <c r="S716" s="385" t="str">
        <f t="shared" si="233"/>
        <v/>
      </c>
    </row>
    <row r="717" spans="2:19" ht="13.5" hidden="1" thickBot="1">
      <c r="B717" s="625" t="s">
        <v>187</v>
      </c>
      <c r="C717" s="401" t="s">
        <v>187</v>
      </c>
      <c r="D717" s="410"/>
      <c r="E717" s="403"/>
      <c r="F717" s="411"/>
      <c r="G717" s="405"/>
      <c r="H717" s="404"/>
      <c r="I717" s="406"/>
      <c r="J717" s="407"/>
      <c r="K717" s="412">
        <f t="shared" si="229"/>
        <v>0</v>
      </c>
      <c r="L717" s="409" t="s">
        <v>777</v>
      </c>
      <c r="M717" s="30"/>
      <c r="N717" s="30"/>
      <c r="O717" s="287">
        <f t="shared" si="232"/>
        <v>0</v>
      </c>
      <c r="P717" s="287">
        <f t="shared" si="231"/>
        <v>0</v>
      </c>
      <c r="Q717" s="288"/>
      <c r="R717" s="243"/>
      <c r="S717" s="385" t="str">
        <f t="shared" si="233"/>
        <v/>
      </c>
    </row>
    <row r="718" spans="2:19" ht="13.5" hidden="1" thickBot="1">
      <c r="B718" s="625" t="s">
        <v>187</v>
      </c>
      <c r="C718" s="401" t="s">
        <v>187</v>
      </c>
      <c r="D718" s="410"/>
      <c r="E718" s="403"/>
      <c r="F718" s="411"/>
      <c r="G718" s="405"/>
      <c r="H718" s="404"/>
      <c r="I718" s="406"/>
      <c r="J718" s="407"/>
      <c r="K718" s="412">
        <f t="shared" si="229"/>
        <v>0</v>
      </c>
      <c r="L718" s="409" t="s">
        <v>777</v>
      </c>
      <c r="M718" s="30"/>
      <c r="N718" s="30"/>
      <c r="O718" s="287">
        <f t="shared" si="232"/>
        <v>0</v>
      </c>
      <c r="P718" s="287">
        <f t="shared" si="231"/>
        <v>0</v>
      </c>
      <c r="Q718" s="288"/>
      <c r="R718" s="243"/>
      <c r="S718" s="385" t="str">
        <f t="shared" si="233"/>
        <v/>
      </c>
    </row>
    <row r="719" spans="2:19" ht="13.5" hidden="1" thickBot="1">
      <c r="B719" s="625" t="s">
        <v>187</v>
      </c>
      <c r="C719" s="401" t="s">
        <v>187</v>
      </c>
      <c r="D719" s="410"/>
      <c r="E719" s="403"/>
      <c r="F719" s="411"/>
      <c r="G719" s="405"/>
      <c r="H719" s="404"/>
      <c r="I719" s="406"/>
      <c r="J719" s="407"/>
      <c r="K719" s="412">
        <f t="shared" si="229"/>
        <v>0</v>
      </c>
      <c r="L719" s="409" t="s">
        <v>777</v>
      </c>
      <c r="M719" s="30"/>
      <c r="N719" s="30"/>
      <c r="O719" s="287">
        <f t="shared" si="232"/>
        <v>0</v>
      </c>
      <c r="P719" s="287">
        <f t="shared" si="231"/>
        <v>0</v>
      </c>
      <c r="Q719" s="288"/>
      <c r="R719" s="243"/>
      <c r="S719" s="385" t="str">
        <f t="shared" si="233"/>
        <v/>
      </c>
    </row>
    <row r="720" spans="2:19" ht="13.5" hidden="1" thickBot="1">
      <c r="B720" s="625" t="s">
        <v>187</v>
      </c>
      <c r="C720" s="401" t="s">
        <v>187</v>
      </c>
      <c r="D720" s="410"/>
      <c r="E720" s="403"/>
      <c r="F720" s="411"/>
      <c r="G720" s="405"/>
      <c r="H720" s="404"/>
      <c r="I720" s="406"/>
      <c r="J720" s="407"/>
      <c r="K720" s="412">
        <f t="shared" si="229"/>
        <v>0</v>
      </c>
      <c r="L720" s="409" t="s">
        <v>777</v>
      </c>
      <c r="M720" s="30"/>
      <c r="N720" s="30"/>
      <c r="O720" s="287">
        <f t="shared" si="232"/>
        <v>0</v>
      </c>
      <c r="P720" s="287">
        <f t="shared" si="231"/>
        <v>0</v>
      </c>
      <c r="Q720" s="288"/>
      <c r="R720" s="243"/>
      <c r="S720" s="385" t="str">
        <f t="shared" si="233"/>
        <v/>
      </c>
    </row>
    <row r="721" spans="2:19" ht="13.5" hidden="1" thickBot="1">
      <c r="B721" s="625" t="s">
        <v>187</v>
      </c>
      <c r="C721" s="401" t="s">
        <v>187</v>
      </c>
      <c r="D721" s="410"/>
      <c r="E721" s="403"/>
      <c r="F721" s="411"/>
      <c r="G721" s="405"/>
      <c r="H721" s="404"/>
      <c r="I721" s="406"/>
      <c r="J721" s="407"/>
      <c r="K721" s="412">
        <f t="shared" si="229"/>
        <v>0</v>
      </c>
      <c r="L721" s="409" t="s">
        <v>777</v>
      </c>
      <c r="M721" s="30"/>
      <c r="N721" s="30"/>
      <c r="O721" s="287">
        <f t="shared" si="232"/>
        <v>0</v>
      </c>
      <c r="P721" s="287">
        <f t="shared" si="231"/>
        <v>0</v>
      </c>
      <c r="Q721" s="288"/>
      <c r="R721" s="243"/>
      <c r="S721" s="385" t="str">
        <f t="shared" si="233"/>
        <v/>
      </c>
    </row>
    <row r="722" spans="2:19" ht="13.5" hidden="1" thickBot="1">
      <c r="B722" s="625" t="s">
        <v>187</v>
      </c>
      <c r="C722" s="401" t="s">
        <v>187</v>
      </c>
      <c r="D722" s="410"/>
      <c r="E722" s="403"/>
      <c r="F722" s="411"/>
      <c r="G722" s="405"/>
      <c r="H722" s="404"/>
      <c r="I722" s="406"/>
      <c r="J722" s="407"/>
      <c r="K722" s="412">
        <f t="shared" si="229"/>
        <v>0</v>
      </c>
      <c r="L722" s="409" t="s">
        <v>777</v>
      </c>
      <c r="M722" s="30"/>
      <c r="N722" s="30"/>
      <c r="O722" s="287">
        <f t="shared" si="232"/>
        <v>0</v>
      </c>
      <c r="P722" s="287">
        <f t="shared" si="231"/>
        <v>0</v>
      </c>
      <c r="Q722" s="288"/>
      <c r="R722" s="243"/>
      <c r="S722" s="385" t="str">
        <f t="shared" si="233"/>
        <v/>
      </c>
    </row>
    <row r="723" spans="2:19" ht="13.5" hidden="1" thickBot="1">
      <c r="B723" s="625" t="s">
        <v>187</v>
      </c>
      <c r="C723" s="401" t="s">
        <v>187</v>
      </c>
      <c r="D723" s="410"/>
      <c r="E723" s="403"/>
      <c r="F723" s="411"/>
      <c r="G723" s="405"/>
      <c r="H723" s="404"/>
      <c r="I723" s="406"/>
      <c r="J723" s="407"/>
      <c r="K723" s="412">
        <f t="shared" si="229"/>
        <v>0</v>
      </c>
      <c r="L723" s="409" t="s">
        <v>777</v>
      </c>
      <c r="M723" s="30"/>
      <c r="N723" s="30"/>
      <c r="O723" s="287">
        <f t="shared" si="232"/>
        <v>0</v>
      </c>
      <c r="P723" s="287">
        <f t="shared" si="231"/>
        <v>0</v>
      </c>
      <c r="Q723" s="288"/>
      <c r="R723" s="243"/>
      <c r="S723" s="385" t="str">
        <f t="shared" si="233"/>
        <v/>
      </c>
    </row>
    <row r="724" spans="2:19" ht="13.5" hidden="1" thickBot="1">
      <c r="B724" s="626" t="s">
        <v>187</v>
      </c>
      <c r="C724" s="413" t="s">
        <v>187</v>
      </c>
      <c r="D724" s="414"/>
      <c r="E724" s="415"/>
      <c r="F724" s="416"/>
      <c r="G724" s="417"/>
      <c r="H724" s="418"/>
      <c r="I724" s="419"/>
      <c r="J724" s="420"/>
      <c r="K724" s="421">
        <f t="shared" si="229"/>
        <v>0</v>
      </c>
      <c r="L724" s="422" t="s">
        <v>777</v>
      </c>
      <c r="M724" s="30"/>
      <c r="N724" s="30"/>
      <c r="O724" s="423">
        <f t="shared" si="232"/>
        <v>0</v>
      </c>
      <c r="P724" s="423">
        <f t="shared" si="231"/>
        <v>0</v>
      </c>
      <c r="Q724" s="288"/>
      <c r="R724" s="243"/>
      <c r="S724" s="385" t="str">
        <f t="shared" si="233"/>
        <v/>
      </c>
    </row>
    <row r="725" spans="2:19" ht="13.5" thickBot="1">
      <c r="B725" s="627" t="s">
        <v>471</v>
      </c>
      <c r="C725" s="684"/>
      <c r="D725" s="685" t="s">
        <v>499</v>
      </c>
      <c r="E725" s="679"/>
      <c r="F725" s="665"/>
      <c r="G725" s="666"/>
      <c r="H725" s="667"/>
      <c r="I725" s="619"/>
      <c r="J725" s="619"/>
      <c r="K725" s="619"/>
      <c r="L725" s="619" t="s">
        <v>777</v>
      </c>
      <c r="M725" s="382"/>
      <c r="N725" s="383"/>
      <c r="O725" s="383"/>
      <c r="P725" s="295"/>
      <c r="Q725" s="296">
        <f>SUM(P726:P784)</f>
        <v>113175.32999999999</v>
      </c>
      <c r="R725" s="315" t="str">
        <f>IF(Q725&gt;0,"xy","")</f>
        <v>xy</v>
      </c>
      <c r="S725" s="385" t="str">
        <f t="shared" si="233"/>
        <v>x</v>
      </c>
    </row>
    <row r="726" spans="2:19" hidden="1">
      <c r="B726" s="609">
        <v>813000</v>
      </c>
      <c r="C726" s="610" t="s">
        <v>212</v>
      </c>
      <c r="D726" s="611" t="s">
        <v>805</v>
      </c>
      <c r="E726" s="602"/>
      <c r="F726" s="603"/>
      <c r="G726" s="604"/>
      <c r="H726" s="605">
        <f>SUM(H727:H729)</f>
        <v>13.782183000000002</v>
      </c>
      <c r="I726" s="675">
        <v>96.5</v>
      </c>
      <c r="J726" s="675">
        <f t="shared" ref="J726:J734" si="234">IF(ISBLANK(I726),"",SUM(H726:I726))</f>
        <v>110.282183</v>
      </c>
      <c r="K726" s="606">
        <f t="shared" ref="K726:K753" si="235">IF(ISBLANK(I726),0,ROUND(J726*(1+$F$10)*(1+$F$11*E726),2))</f>
        <v>133.83000000000001</v>
      </c>
      <c r="L726" s="607" t="s">
        <v>19</v>
      </c>
      <c r="M726" s="30"/>
      <c r="N726" s="30"/>
      <c r="O726" s="287">
        <f t="shared" ref="O726:O751" si="236">IF(ISBLANK(M726),0,ROUND(K726*M726,2))</f>
        <v>0</v>
      </c>
      <c r="P726" s="287">
        <f t="shared" ref="P726:P751" si="237">IF(ISBLANK(N726),0,ROUND(M726*N726,2))</f>
        <v>0</v>
      </c>
      <c r="Q726" s="288"/>
      <c r="R726" s="243"/>
      <c r="S726" s="385" t="str">
        <f t="shared" si="233"/>
        <v/>
      </c>
    </row>
    <row r="727" spans="2:19" hidden="1">
      <c r="B727" s="609" t="s">
        <v>168</v>
      </c>
      <c r="C727" s="610"/>
      <c r="D727" s="648" t="s">
        <v>218</v>
      </c>
      <c r="E727" s="602"/>
      <c r="F727" s="603">
        <v>500</v>
      </c>
      <c r="G727" s="604">
        <v>1.7600000000000001E-2</v>
      </c>
      <c r="H727" s="605">
        <f>IF(F727&lt;=30,(0.51*F727+4.28)*G727,((0.51*30+4.28)+0.42*(F727-30))*G727)</f>
        <v>3.8188480000000005</v>
      </c>
      <c r="I727" s="675">
        <v>0</v>
      </c>
      <c r="J727" s="675"/>
      <c r="K727" s="606">
        <f t="shared" si="235"/>
        <v>0</v>
      </c>
      <c r="L727" s="716" t="s">
        <v>777</v>
      </c>
      <c r="M727" s="429"/>
      <c r="N727" s="430"/>
      <c r="O727" s="287">
        <f t="shared" si="236"/>
        <v>0</v>
      </c>
      <c r="P727" s="287">
        <f t="shared" si="237"/>
        <v>0</v>
      </c>
      <c r="Q727" s="288"/>
      <c r="R727" s="315" t="str">
        <f>IF(P726&gt;0,"xy","")</f>
        <v/>
      </c>
      <c r="S727" s="385" t="str">
        <f t="shared" si="233"/>
        <v/>
      </c>
    </row>
    <row r="728" spans="2:19" hidden="1">
      <c r="B728" s="609" t="s">
        <v>168</v>
      </c>
      <c r="C728" s="610"/>
      <c r="D728" s="648" t="s">
        <v>256</v>
      </c>
      <c r="E728" s="602"/>
      <c r="F728" s="603">
        <v>180</v>
      </c>
      <c r="G728" s="604">
        <v>7.3400000000000007E-2</v>
      </c>
      <c r="H728" s="605">
        <f>IF(F728=0,0,IF(F728&lt;=30,(0.7*F728+1.45)*G728,((0.7*30+1.45)+0.58*(F728-30))*G728))</f>
        <v>8.0336300000000005</v>
      </c>
      <c r="I728" s="675">
        <v>0</v>
      </c>
      <c r="J728" s="675"/>
      <c r="K728" s="606">
        <f t="shared" si="235"/>
        <v>0</v>
      </c>
      <c r="L728" s="716" t="s">
        <v>777</v>
      </c>
      <c r="M728" s="429"/>
      <c r="N728" s="430"/>
      <c r="O728" s="287">
        <f t="shared" si="236"/>
        <v>0</v>
      </c>
      <c r="P728" s="287">
        <f t="shared" si="237"/>
        <v>0</v>
      </c>
      <c r="Q728" s="288"/>
      <c r="R728" s="315" t="str">
        <f>IF(P726&gt;0,"xy","")</f>
        <v/>
      </c>
      <c r="S728" s="385" t="str">
        <f t="shared" si="233"/>
        <v/>
      </c>
    </row>
    <row r="729" spans="2:19" hidden="1">
      <c r="B729" s="609" t="s">
        <v>168</v>
      </c>
      <c r="C729" s="610"/>
      <c r="D729" s="648" t="s">
        <v>260</v>
      </c>
      <c r="E729" s="602"/>
      <c r="F729" s="603">
        <v>20</v>
      </c>
      <c r="G729" s="604">
        <v>0.1249</v>
      </c>
      <c r="H729" s="605">
        <f>IF(F729=0,0,IF(F729&lt;=30,(0.7*F729+1.45)*G729,((0.7*30+1.45)+0.58*(F729-30))*G729))</f>
        <v>1.9297049999999998</v>
      </c>
      <c r="I729" s="675">
        <v>0</v>
      </c>
      <c r="J729" s="675"/>
      <c r="K729" s="606">
        <f t="shared" si="235"/>
        <v>0</v>
      </c>
      <c r="L729" s="716" t="s">
        <v>777</v>
      </c>
      <c r="M729" s="429"/>
      <c r="N729" s="430"/>
      <c r="O729" s="287">
        <f t="shared" si="236"/>
        <v>0</v>
      </c>
      <c r="P729" s="287">
        <f t="shared" si="237"/>
        <v>0</v>
      </c>
      <c r="Q729" s="288"/>
      <c r="R729" s="315" t="str">
        <f>IF(P726&gt;0,"xy","")</f>
        <v/>
      </c>
      <c r="S729" s="385" t="str">
        <f t="shared" si="233"/>
        <v/>
      </c>
    </row>
    <row r="730" spans="2:19" hidden="1">
      <c r="B730" s="609">
        <v>814000</v>
      </c>
      <c r="C730" s="610" t="s">
        <v>212</v>
      </c>
      <c r="D730" s="611" t="s">
        <v>806</v>
      </c>
      <c r="E730" s="602"/>
      <c r="F730" s="603"/>
      <c r="G730" s="604"/>
      <c r="H730" s="605">
        <f>SUM(H731:H733)</f>
        <v>13.782183000000002</v>
      </c>
      <c r="I730" s="675">
        <v>95.5</v>
      </c>
      <c r="J730" s="675">
        <f t="shared" si="234"/>
        <v>109.282183</v>
      </c>
      <c r="K730" s="606">
        <f t="shared" si="235"/>
        <v>132.61000000000001</v>
      </c>
      <c r="L730" s="607" t="s">
        <v>19</v>
      </c>
      <c r="M730" s="30"/>
      <c r="N730" s="30"/>
      <c r="O730" s="287">
        <f t="shared" si="236"/>
        <v>0</v>
      </c>
      <c r="P730" s="287">
        <f t="shared" si="237"/>
        <v>0</v>
      </c>
      <c r="Q730" s="288"/>
      <c r="R730" s="243"/>
      <c r="S730" s="385" t="str">
        <f t="shared" si="233"/>
        <v/>
      </c>
    </row>
    <row r="731" spans="2:19" hidden="1">
      <c r="B731" s="609" t="s">
        <v>168</v>
      </c>
      <c r="C731" s="610"/>
      <c r="D731" s="648" t="s">
        <v>218</v>
      </c>
      <c r="E731" s="602"/>
      <c r="F731" s="603">
        <v>500</v>
      </c>
      <c r="G731" s="604">
        <v>1.7600000000000001E-2</v>
      </c>
      <c r="H731" s="605">
        <f>IF(F731&lt;=30,(0.51*F731+4.28)*G731,((0.51*30+4.28)+0.42*(F731-30))*G731)</f>
        <v>3.8188480000000005</v>
      </c>
      <c r="I731" s="675">
        <v>0</v>
      </c>
      <c r="J731" s="675"/>
      <c r="K731" s="606">
        <f t="shared" si="235"/>
        <v>0</v>
      </c>
      <c r="L731" s="716" t="s">
        <v>777</v>
      </c>
      <c r="M731" s="429"/>
      <c r="N731" s="430"/>
      <c r="O731" s="287">
        <f t="shared" si="236"/>
        <v>0</v>
      </c>
      <c r="P731" s="287">
        <f t="shared" si="237"/>
        <v>0</v>
      </c>
      <c r="Q731" s="288"/>
      <c r="R731" s="315" t="str">
        <f>IF(P730&gt;0,"xy","")</f>
        <v/>
      </c>
      <c r="S731" s="385" t="str">
        <f t="shared" si="233"/>
        <v/>
      </c>
    </row>
    <row r="732" spans="2:19" hidden="1">
      <c r="B732" s="609" t="s">
        <v>168</v>
      </c>
      <c r="C732" s="610"/>
      <c r="D732" s="648" t="s">
        <v>256</v>
      </c>
      <c r="E732" s="602"/>
      <c r="F732" s="603">
        <v>180</v>
      </c>
      <c r="G732" s="604">
        <v>7.3400000000000007E-2</v>
      </c>
      <c r="H732" s="605">
        <f>IF(F732=0,0,IF(F732&lt;=30,(0.7*F732+1.45)*G732,((0.7*30+1.45)+0.58*(F732-30))*G732))</f>
        <v>8.0336300000000005</v>
      </c>
      <c r="I732" s="675">
        <v>0</v>
      </c>
      <c r="J732" s="675"/>
      <c r="K732" s="606">
        <f t="shared" si="235"/>
        <v>0</v>
      </c>
      <c r="L732" s="716" t="s">
        <v>777</v>
      </c>
      <c r="M732" s="429"/>
      <c r="N732" s="430"/>
      <c r="O732" s="287">
        <f t="shared" si="236"/>
        <v>0</v>
      </c>
      <c r="P732" s="287">
        <f t="shared" si="237"/>
        <v>0</v>
      </c>
      <c r="Q732" s="288"/>
      <c r="R732" s="315" t="str">
        <f>IF(P730&gt;0,"xy","")</f>
        <v/>
      </c>
      <c r="S732" s="385" t="str">
        <f t="shared" si="233"/>
        <v/>
      </c>
    </row>
    <row r="733" spans="2:19" hidden="1">
      <c r="B733" s="609" t="s">
        <v>168</v>
      </c>
      <c r="C733" s="610"/>
      <c r="D733" s="648" t="s">
        <v>260</v>
      </c>
      <c r="E733" s="602"/>
      <c r="F733" s="603">
        <v>20</v>
      </c>
      <c r="G733" s="604">
        <v>0.1249</v>
      </c>
      <c r="H733" s="605">
        <f>IF(F733=0,0,IF(F733&lt;=30,(0.7*F733+1.45)*G733,((0.7*30+1.45)+0.58*(F733-30))*G733))</f>
        <v>1.9297049999999998</v>
      </c>
      <c r="I733" s="675">
        <v>0</v>
      </c>
      <c r="J733" s="675"/>
      <c r="K733" s="606">
        <f t="shared" si="235"/>
        <v>0</v>
      </c>
      <c r="L733" s="716" t="s">
        <v>777</v>
      </c>
      <c r="M733" s="429"/>
      <c r="N733" s="430"/>
      <c r="O733" s="287">
        <f t="shared" si="236"/>
        <v>0</v>
      </c>
      <c r="P733" s="287">
        <f t="shared" si="237"/>
        <v>0</v>
      </c>
      <c r="Q733" s="288"/>
      <c r="R733" s="315" t="str">
        <f>IF(P730&gt;0,"xy","")</f>
        <v/>
      </c>
      <c r="S733" s="385" t="str">
        <f t="shared" si="233"/>
        <v/>
      </c>
    </row>
    <row r="734" spans="2:19" hidden="1">
      <c r="B734" s="609" t="s">
        <v>2014</v>
      </c>
      <c r="C734" s="610" t="s">
        <v>212</v>
      </c>
      <c r="D734" s="611" t="s">
        <v>295</v>
      </c>
      <c r="E734" s="602"/>
      <c r="F734" s="603">
        <v>0</v>
      </c>
      <c r="G734" s="604"/>
      <c r="H734" s="605">
        <v>0</v>
      </c>
      <c r="I734" s="675">
        <v>322.98</v>
      </c>
      <c r="J734" s="675">
        <f t="shared" si="234"/>
        <v>322.98</v>
      </c>
      <c r="K734" s="606">
        <f t="shared" si="235"/>
        <v>391.94</v>
      </c>
      <c r="L734" s="607" t="s">
        <v>19</v>
      </c>
      <c r="M734" s="30"/>
      <c r="N734" s="30"/>
      <c r="O734" s="287">
        <f t="shared" si="236"/>
        <v>0</v>
      </c>
      <c r="P734" s="287">
        <f t="shared" si="237"/>
        <v>0</v>
      </c>
      <c r="Q734" s="288"/>
      <c r="R734" s="243"/>
      <c r="S734" s="385" t="str">
        <f t="shared" si="233"/>
        <v/>
      </c>
    </row>
    <row r="735" spans="2:19" hidden="1">
      <c r="B735" s="609">
        <v>871000</v>
      </c>
      <c r="C735" s="610" t="s">
        <v>212</v>
      </c>
      <c r="D735" s="611" t="s">
        <v>530</v>
      </c>
      <c r="E735" s="602"/>
      <c r="F735" s="603"/>
      <c r="G735" s="604"/>
      <c r="H735" s="605"/>
      <c r="I735" s="675">
        <v>22.43</v>
      </c>
      <c r="J735" s="675">
        <f>IF(ISBLANK(I735),"",SUM(H735:I735))</f>
        <v>22.43</v>
      </c>
      <c r="K735" s="606">
        <f t="shared" si="235"/>
        <v>27.22</v>
      </c>
      <c r="L735" s="607" t="s">
        <v>21</v>
      </c>
      <c r="M735" s="30"/>
      <c r="N735" s="30"/>
      <c r="O735" s="287">
        <f t="shared" si="236"/>
        <v>0</v>
      </c>
      <c r="P735" s="287">
        <f t="shared" si="237"/>
        <v>0</v>
      </c>
      <c r="Q735" s="288"/>
      <c r="R735" s="243"/>
      <c r="S735" s="385" t="str">
        <f t="shared" si="233"/>
        <v/>
      </c>
    </row>
    <row r="736" spans="2:19" hidden="1">
      <c r="B736" s="609">
        <v>870000</v>
      </c>
      <c r="C736" s="610" t="s">
        <v>212</v>
      </c>
      <c r="D736" s="611" t="s">
        <v>531</v>
      </c>
      <c r="E736" s="602"/>
      <c r="F736" s="603"/>
      <c r="G736" s="604"/>
      <c r="H736" s="605"/>
      <c r="I736" s="675">
        <v>21.41</v>
      </c>
      <c r="J736" s="675">
        <f t="shared" ref="J736:J739" si="238">IF(ISBLANK(I736),"",SUM(H736:I736))</f>
        <v>21.41</v>
      </c>
      <c r="K736" s="606">
        <f t="shared" si="235"/>
        <v>25.98</v>
      </c>
      <c r="L736" s="607" t="s">
        <v>21</v>
      </c>
      <c r="M736" s="30"/>
      <c r="N736" s="30"/>
      <c r="O736" s="287">
        <f t="shared" si="236"/>
        <v>0</v>
      </c>
      <c r="P736" s="287">
        <f t="shared" si="237"/>
        <v>0</v>
      </c>
      <c r="Q736" s="288"/>
      <c r="R736" s="243"/>
      <c r="S736" s="385" t="str">
        <f t="shared" si="233"/>
        <v/>
      </c>
    </row>
    <row r="737" spans="2:20" hidden="1">
      <c r="B737" s="609">
        <v>873000</v>
      </c>
      <c r="C737" s="610" t="s">
        <v>212</v>
      </c>
      <c r="D737" s="611" t="s">
        <v>532</v>
      </c>
      <c r="E737" s="602"/>
      <c r="F737" s="603"/>
      <c r="G737" s="604"/>
      <c r="H737" s="605"/>
      <c r="I737" s="675">
        <v>33.549999999999997</v>
      </c>
      <c r="J737" s="675">
        <f t="shared" si="238"/>
        <v>33.549999999999997</v>
      </c>
      <c r="K737" s="606">
        <f t="shared" si="235"/>
        <v>40.71</v>
      </c>
      <c r="L737" s="607" t="s">
        <v>21</v>
      </c>
      <c r="M737" s="30"/>
      <c r="N737" s="30"/>
      <c r="O737" s="287">
        <f t="shared" si="236"/>
        <v>0</v>
      </c>
      <c r="P737" s="287">
        <f t="shared" si="237"/>
        <v>0</v>
      </c>
      <c r="Q737" s="288"/>
      <c r="R737" s="243"/>
      <c r="S737" s="385" t="str">
        <f t="shared" si="233"/>
        <v/>
      </c>
    </row>
    <row r="738" spans="2:20" hidden="1">
      <c r="B738" s="609">
        <v>872000</v>
      </c>
      <c r="C738" s="610" t="s">
        <v>212</v>
      </c>
      <c r="D738" s="611" t="s">
        <v>533</v>
      </c>
      <c r="E738" s="602"/>
      <c r="F738" s="603"/>
      <c r="G738" s="604"/>
      <c r="H738" s="605"/>
      <c r="I738" s="675">
        <v>32.43</v>
      </c>
      <c r="J738" s="675">
        <f t="shared" si="238"/>
        <v>32.43</v>
      </c>
      <c r="K738" s="606">
        <f t="shared" si="235"/>
        <v>39.35</v>
      </c>
      <c r="L738" s="607" t="s">
        <v>21</v>
      </c>
      <c r="M738" s="30"/>
      <c r="N738" s="30"/>
      <c r="O738" s="287">
        <f t="shared" si="236"/>
        <v>0</v>
      </c>
      <c r="P738" s="287">
        <f t="shared" si="237"/>
        <v>0</v>
      </c>
      <c r="Q738" s="288"/>
      <c r="R738" s="243"/>
      <c r="S738" s="385" t="str">
        <f t="shared" si="233"/>
        <v/>
      </c>
    </row>
    <row r="739" spans="2:20">
      <c r="B739" s="609">
        <v>822000</v>
      </c>
      <c r="C739" s="610" t="s">
        <v>212</v>
      </c>
      <c r="D739" s="611" t="s">
        <v>529</v>
      </c>
      <c r="E739" s="602"/>
      <c r="F739" s="603"/>
      <c r="G739" s="604"/>
      <c r="H739" s="605"/>
      <c r="I739" s="675">
        <v>29.48</v>
      </c>
      <c r="J739" s="675">
        <f t="shared" si="238"/>
        <v>29.48</v>
      </c>
      <c r="K739" s="606">
        <f t="shared" si="235"/>
        <v>35.770000000000003</v>
      </c>
      <c r="L739" s="607" t="s">
        <v>18</v>
      </c>
      <c r="M739" s="30">
        <v>2891.08</v>
      </c>
      <c r="N739" s="30">
        <v>35.770000000000003</v>
      </c>
      <c r="O739" s="287">
        <f t="shared" si="236"/>
        <v>103413.93</v>
      </c>
      <c r="P739" s="287">
        <f t="shared" si="237"/>
        <v>103413.93</v>
      </c>
      <c r="Q739" s="288"/>
      <c r="R739" s="243" t="s">
        <v>174</v>
      </c>
      <c r="S739" s="385" t="str">
        <f t="shared" si="233"/>
        <v>x</v>
      </c>
      <c r="T739" s="3" t="s">
        <v>174</v>
      </c>
    </row>
    <row r="740" spans="2:20" hidden="1">
      <c r="B740" s="609" t="s">
        <v>330</v>
      </c>
      <c r="C740" s="610" t="s">
        <v>212</v>
      </c>
      <c r="D740" s="611" t="s">
        <v>314</v>
      </c>
      <c r="E740" s="602"/>
      <c r="F740" s="603"/>
      <c r="G740" s="604"/>
      <c r="H740" s="605"/>
      <c r="I740" s="675">
        <v>530.62</v>
      </c>
      <c r="J740" s="675">
        <f>IF(ISBLANK(I740),"",SUM(H740:I740))</f>
        <v>530.62</v>
      </c>
      <c r="K740" s="606">
        <f t="shared" si="235"/>
        <v>643.91</v>
      </c>
      <c r="L740" s="607" t="s">
        <v>18</v>
      </c>
      <c r="M740" s="30"/>
      <c r="N740" s="30"/>
      <c r="O740" s="287">
        <f t="shared" si="236"/>
        <v>0</v>
      </c>
      <c r="P740" s="287">
        <f t="shared" si="237"/>
        <v>0</v>
      </c>
      <c r="Q740" s="288"/>
      <c r="R740" s="243"/>
      <c r="S740" s="385" t="str">
        <f t="shared" si="233"/>
        <v/>
      </c>
    </row>
    <row r="741" spans="2:20" hidden="1">
      <c r="B741" s="609">
        <v>821000</v>
      </c>
      <c r="C741" s="610" t="s">
        <v>212</v>
      </c>
      <c r="D741" s="611" t="s">
        <v>315</v>
      </c>
      <c r="E741" s="602"/>
      <c r="F741" s="603"/>
      <c r="G741" s="604"/>
      <c r="H741" s="605"/>
      <c r="I741" s="675">
        <v>132.99</v>
      </c>
      <c r="J741" s="675">
        <f>IF(ISBLANK(I741),"",SUM(H741:I741))</f>
        <v>132.99</v>
      </c>
      <c r="K741" s="606">
        <f t="shared" si="235"/>
        <v>161.38</v>
      </c>
      <c r="L741" s="607" t="s">
        <v>21</v>
      </c>
      <c r="M741" s="30"/>
      <c r="N741" s="30"/>
      <c r="O741" s="287">
        <f t="shared" si="236"/>
        <v>0</v>
      </c>
      <c r="P741" s="287">
        <f t="shared" si="237"/>
        <v>0</v>
      </c>
      <c r="Q741" s="288"/>
      <c r="R741" s="243"/>
      <c r="S741" s="385" t="str">
        <f t="shared" si="233"/>
        <v/>
      </c>
    </row>
    <row r="742" spans="2:20" hidden="1">
      <c r="B742" s="609">
        <v>821300</v>
      </c>
      <c r="C742" s="610" t="s">
        <v>212</v>
      </c>
      <c r="D742" s="611" t="s">
        <v>316</v>
      </c>
      <c r="E742" s="602"/>
      <c r="F742" s="603"/>
      <c r="G742" s="604"/>
      <c r="H742" s="605"/>
      <c r="I742" s="675">
        <v>320.70000000000005</v>
      </c>
      <c r="J742" s="675">
        <f t="shared" ref="J742" si="239">IF(ISBLANK(I742),"",SUM(H742:I742))</f>
        <v>320.70000000000005</v>
      </c>
      <c r="K742" s="606">
        <f t="shared" si="235"/>
        <v>389.17</v>
      </c>
      <c r="L742" s="607" t="s">
        <v>21</v>
      </c>
      <c r="M742" s="30"/>
      <c r="N742" s="30"/>
      <c r="O742" s="287">
        <f t="shared" si="236"/>
        <v>0</v>
      </c>
      <c r="P742" s="287">
        <f t="shared" si="237"/>
        <v>0</v>
      </c>
      <c r="Q742" s="288"/>
      <c r="R742" s="243"/>
      <c r="S742" s="385" t="str">
        <f t="shared" si="233"/>
        <v/>
      </c>
    </row>
    <row r="743" spans="2:20" hidden="1">
      <c r="B743" s="609" t="s">
        <v>331</v>
      </c>
      <c r="C743" s="610" t="s">
        <v>212</v>
      </c>
      <c r="D743" s="611" t="s">
        <v>317</v>
      </c>
      <c r="E743" s="602"/>
      <c r="F743" s="603"/>
      <c r="G743" s="604"/>
      <c r="H743" s="605"/>
      <c r="I743" s="675">
        <v>237.20376800000003</v>
      </c>
      <c r="J743" s="675">
        <f>IF(ISBLANK(I743),"",SUM(H743:I743))*0.85</f>
        <v>201.62320280000003</v>
      </c>
      <c r="K743" s="606">
        <f t="shared" si="235"/>
        <v>244.67</v>
      </c>
      <c r="L743" s="607" t="s">
        <v>21</v>
      </c>
      <c r="M743" s="30"/>
      <c r="N743" s="30"/>
      <c r="O743" s="287">
        <f t="shared" si="236"/>
        <v>0</v>
      </c>
      <c r="P743" s="287">
        <f t="shared" si="237"/>
        <v>0</v>
      </c>
      <c r="Q743" s="288"/>
      <c r="R743" s="243"/>
      <c r="S743" s="385" t="str">
        <f t="shared" si="233"/>
        <v/>
      </c>
    </row>
    <row r="744" spans="2:20" hidden="1">
      <c r="B744" s="609" t="s">
        <v>332</v>
      </c>
      <c r="C744" s="610" t="s">
        <v>212</v>
      </c>
      <c r="D744" s="611" t="s">
        <v>318</v>
      </c>
      <c r="E744" s="602"/>
      <c r="F744" s="603"/>
      <c r="G744" s="604"/>
      <c r="H744" s="605"/>
      <c r="I744" s="675">
        <v>197.67257799999999</v>
      </c>
      <c r="J744" s="675">
        <f>IF(ISBLANK(I744),"",SUM(H744:I744))*0.85</f>
        <v>168.02169129999999</v>
      </c>
      <c r="K744" s="606">
        <f t="shared" si="235"/>
        <v>203.89</v>
      </c>
      <c r="L744" s="607" t="s">
        <v>21</v>
      </c>
      <c r="M744" s="30"/>
      <c r="N744" s="30"/>
      <c r="O744" s="287">
        <f t="shared" si="236"/>
        <v>0</v>
      </c>
      <c r="P744" s="287">
        <f t="shared" si="237"/>
        <v>0</v>
      </c>
      <c r="Q744" s="288"/>
      <c r="R744" s="243"/>
      <c r="S744" s="385" t="str">
        <f t="shared" si="233"/>
        <v/>
      </c>
    </row>
    <row r="745" spans="2:20" hidden="1">
      <c r="B745" s="609" t="s">
        <v>333</v>
      </c>
      <c r="C745" s="610" t="s">
        <v>212</v>
      </c>
      <c r="D745" s="611" t="s">
        <v>319</v>
      </c>
      <c r="E745" s="602"/>
      <c r="F745" s="603"/>
      <c r="G745" s="604"/>
      <c r="H745" s="605"/>
      <c r="I745" s="675">
        <v>247.60392000000002</v>
      </c>
      <c r="J745" s="675">
        <f>IF(ISBLANK(I745),"",SUM(H745:I745))*0.85</f>
        <v>210.46333200000001</v>
      </c>
      <c r="K745" s="606">
        <f t="shared" si="235"/>
        <v>255.4</v>
      </c>
      <c r="L745" s="607" t="s">
        <v>21</v>
      </c>
      <c r="M745" s="30"/>
      <c r="N745" s="30"/>
      <c r="O745" s="287">
        <f t="shared" si="236"/>
        <v>0</v>
      </c>
      <c r="P745" s="287">
        <f t="shared" si="237"/>
        <v>0</v>
      </c>
      <c r="Q745" s="288"/>
      <c r="R745" s="243"/>
      <c r="S745" s="385" t="str">
        <f t="shared" si="233"/>
        <v/>
      </c>
    </row>
    <row r="746" spans="2:20" hidden="1">
      <c r="B746" s="609" t="s">
        <v>334</v>
      </c>
      <c r="C746" s="610" t="s">
        <v>212</v>
      </c>
      <c r="D746" s="611" t="s">
        <v>320</v>
      </c>
      <c r="E746" s="602"/>
      <c r="F746" s="603"/>
      <c r="G746" s="604"/>
      <c r="H746" s="605"/>
      <c r="I746" s="675">
        <v>240.44055000000003</v>
      </c>
      <c r="J746" s="675">
        <f>IF(ISBLANK(I746),"",SUM(H746:I746))*0.85</f>
        <v>204.37446750000001</v>
      </c>
      <c r="K746" s="606">
        <f t="shared" si="235"/>
        <v>248.01</v>
      </c>
      <c r="L746" s="607" t="s">
        <v>21</v>
      </c>
      <c r="M746" s="30"/>
      <c r="N746" s="30"/>
      <c r="O746" s="287">
        <f t="shared" si="236"/>
        <v>0</v>
      </c>
      <c r="P746" s="287">
        <f t="shared" si="237"/>
        <v>0</v>
      </c>
      <c r="Q746" s="288"/>
      <c r="R746" s="243"/>
      <c r="S746" s="385" t="str">
        <f t="shared" si="233"/>
        <v/>
      </c>
    </row>
    <row r="747" spans="2:20" hidden="1">
      <c r="B747" s="609" t="s">
        <v>335</v>
      </c>
      <c r="C747" s="610" t="s">
        <v>212</v>
      </c>
      <c r="D747" s="611" t="s">
        <v>321</v>
      </c>
      <c r="E747" s="602"/>
      <c r="F747" s="603"/>
      <c r="G747" s="604"/>
      <c r="H747" s="605"/>
      <c r="I747" s="675">
        <v>424.91376800000006</v>
      </c>
      <c r="J747" s="675">
        <f t="shared" ref="J747:J750" si="240">IF(ISBLANK(I747),"",SUM(H747:I747))</f>
        <v>424.91376800000006</v>
      </c>
      <c r="K747" s="606">
        <f t="shared" si="235"/>
        <v>515.63</v>
      </c>
      <c r="L747" s="607" t="s">
        <v>21</v>
      </c>
      <c r="M747" s="30"/>
      <c r="N747" s="30"/>
      <c r="O747" s="287">
        <f t="shared" si="236"/>
        <v>0</v>
      </c>
      <c r="P747" s="287">
        <f t="shared" si="237"/>
        <v>0</v>
      </c>
      <c r="Q747" s="288"/>
      <c r="R747" s="243"/>
      <c r="S747" s="385" t="str">
        <f t="shared" si="233"/>
        <v/>
      </c>
    </row>
    <row r="748" spans="2:20" hidden="1">
      <c r="B748" s="609" t="s">
        <v>336</v>
      </c>
      <c r="C748" s="610" t="s">
        <v>212</v>
      </c>
      <c r="D748" s="611" t="s">
        <v>322</v>
      </c>
      <c r="E748" s="602"/>
      <c r="F748" s="603"/>
      <c r="G748" s="604"/>
      <c r="H748" s="605"/>
      <c r="I748" s="675">
        <v>385.40380280000005</v>
      </c>
      <c r="J748" s="675">
        <f t="shared" si="240"/>
        <v>385.40380280000005</v>
      </c>
      <c r="K748" s="606">
        <f t="shared" si="235"/>
        <v>467.69</v>
      </c>
      <c r="L748" s="607" t="s">
        <v>21</v>
      </c>
      <c r="M748" s="30"/>
      <c r="N748" s="30"/>
      <c r="O748" s="287">
        <f t="shared" si="236"/>
        <v>0</v>
      </c>
      <c r="P748" s="287">
        <f t="shared" si="237"/>
        <v>0</v>
      </c>
      <c r="Q748" s="288"/>
      <c r="R748" s="243"/>
      <c r="S748" s="385" t="str">
        <f t="shared" si="233"/>
        <v/>
      </c>
    </row>
    <row r="749" spans="2:20" ht="13.5" thickBot="1">
      <c r="B749" s="609" t="s">
        <v>337</v>
      </c>
      <c r="C749" s="610" t="s">
        <v>212</v>
      </c>
      <c r="D749" s="611" t="s">
        <v>323</v>
      </c>
      <c r="E749" s="602"/>
      <c r="F749" s="603"/>
      <c r="G749" s="604"/>
      <c r="H749" s="605"/>
      <c r="I749" s="675">
        <v>536.27</v>
      </c>
      <c r="J749" s="675">
        <f t="shared" si="240"/>
        <v>536.27</v>
      </c>
      <c r="K749" s="606">
        <f t="shared" si="235"/>
        <v>650.76</v>
      </c>
      <c r="L749" s="607" t="s">
        <v>21</v>
      </c>
      <c r="M749" s="30">
        <v>15</v>
      </c>
      <c r="N749" s="30">
        <v>650.76</v>
      </c>
      <c r="O749" s="287">
        <f t="shared" si="236"/>
        <v>9761.4</v>
      </c>
      <c r="P749" s="287">
        <f t="shared" si="237"/>
        <v>9761.4</v>
      </c>
      <c r="Q749" s="288"/>
      <c r="R749" s="243" t="s">
        <v>174</v>
      </c>
      <c r="S749" s="385" t="str">
        <f t="shared" si="233"/>
        <v>x</v>
      </c>
      <c r="T749" s="3" t="s">
        <v>174</v>
      </c>
    </row>
    <row r="750" spans="2:20" ht="13.5" hidden="1" thickBot="1">
      <c r="B750" s="609" t="s">
        <v>782</v>
      </c>
      <c r="C750" s="610" t="s">
        <v>212</v>
      </c>
      <c r="D750" s="611" t="s">
        <v>324</v>
      </c>
      <c r="E750" s="602"/>
      <c r="F750" s="603"/>
      <c r="G750" s="604"/>
      <c r="H750" s="605"/>
      <c r="I750" s="675">
        <v>428.15055000000007</v>
      </c>
      <c r="J750" s="675">
        <f t="shared" si="240"/>
        <v>428.15055000000007</v>
      </c>
      <c r="K750" s="606">
        <f t="shared" si="235"/>
        <v>519.55999999999995</v>
      </c>
      <c r="L750" s="607" t="s">
        <v>21</v>
      </c>
      <c r="M750" s="425"/>
      <c r="N750" s="425"/>
      <c r="O750" s="287">
        <f t="shared" si="236"/>
        <v>0</v>
      </c>
      <c r="P750" s="391">
        <f t="shared" si="237"/>
        <v>0</v>
      </c>
      <c r="Q750" s="288"/>
      <c r="R750" s="243"/>
      <c r="S750" s="385" t="str">
        <f t="shared" si="233"/>
        <v/>
      </c>
    </row>
    <row r="751" spans="2:20" ht="13.5" hidden="1" thickBot="1">
      <c r="B751" s="609" t="s">
        <v>2016</v>
      </c>
      <c r="C751" s="610" t="s">
        <v>212</v>
      </c>
      <c r="D751" s="611" t="s">
        <v>801</v>
      </c>
      <c r="E751" s="602"/>
      <c r="F751" s="603"/>
      <c r="G751" s="604"/>
      <c r="H751" s="605"/>
      <c r="I751" s="675">
        <v>439.55888000000004</v>
      </c>
      <c r="J751" s="675">
        <f t="shared" ref="J751" si="241">IF(ISBLANK(I751),"",SUM(H751:I751))</f>
        <v>439.55888000000004</v>
      </c>
      <c r="K751" s="606">
        <f t="shared" si="235"/>
        <v>533.4</v>
      </c>
      <c r="L751" s="607" t="s">
        <v>21</v>
      </c>
      <c r="M751" s="425"/>
      <c r="N751" s="425"/>
      <c r="O751" s="287">
        <f t="shared" si="236"/>
        <v>0</v>
      </c>
      <c r="P751" s="391">
        <f t="shared" si="237"/>
        <v>0</v>
      </c>
      <c r="Q751" s="288"/>
      <c r="R751" s="243"/>
      <c r="S751" s="385" t="str">
        <f t="shared" si="233"/>
        <v/>
      </c>
    </row>
    <row r="752" spans="2:20" ht="13.5" hidden="1" thickBot="1">
      <c r="B752" s="624" t="s">
        <v>187</v>
      </c>
      <c r="C752" s="393"/>
      <c r="D752" s="394" t="s">
        <v>500</v>
      </c>
      <c r="E752" s="395"/>
      <c r="F752" s="396"/>
      <c r="G752" s="397"/>
      <c r="H752" s="398"/>
      <c r="I752" s="399"/>
      <c r="J752" s="399"/>
      <c r="K752" s="399"/>
      <c r="L752" s="399" t="s">
        <v>777</v>
      </c>
      <c r="M752" s="398"/>
      <c r="N752" s="399"/>
      <c r="O752" s="399"/>
      <c r="P752" s="400"/>
      <c r="Q752" s="288"/>
      <c r="R752" s="384" t="str">
        <f>IF(SUM(P753:P784)&gt;0,"y","")</f>
        <v/>
      </c>
      <c r="S752" s="385" t="str">
        <f t="shared" si="233"/>
        <v/>
      </c>
    </row>
    <row r="753" spans="2:19" ht="13.5" hidden="1" thickBot="1">
      <c r="B753" s="625"/>
      <c r="C753" s="401"/>
      <c r="D753" s="410"/>
      <c r="E753" s="403"/>
      <c r="F753" s="411"/>
      <c r="G753" s="405"/>
      <c r="H753" s="404"/>
      <c r="I753" s="406"/>
      <c r="J753" s="387"/>
      <c r="K753" s="388">
        <f t="shared" si="235"/>
        <v>0</v>
      </c>
      <c r="L753" s="409" t="s">
        <v>777</v>
      </c>
      <c r="M753" s="30"/>
      <c r="N753" s="30"/>
      <c r="O753" s="287">
        <f t="shared" ref="O753" si="242">IF(ISBLANK(M753),0,ROUND(K753*M753,2))</f>
        <v>0</v>
      </c>
      <c r="P753" s="287">
        <f t="shared" ref="P753:P784" si="243">IF(ISBLANK(N753),0,ROUND(M753*N753,2))</f>
        <v>0</v>
      </c>
      <c r="Q753" s="288"/>
      <c r="R753" s="243"/>
      <c r="S753" s="385" t="str">
        <f t="shared" si="233"/>
        <v/>
      </c>
    </row>
    <row r="754" spans="2:19" ht="13.5" hidden="1" thickBot="1">
      <c r="B754" s="625" t="s">
        <v>187</v>
      </c>
      <c r="C754" s="401" t="s">
        <v>187</v>
      </c>
      <c r="D754" s="410"/>
      <c r="E754" s="403"/>
      <c r="F754" s="411"/>
      <c r="G754" s="405"/>
      <c r="H754" s="404"/>
      <c r="I754" s="406"/>
      <c r="J754" s="407"/>
      <c r="K754" s="412">
        <f t="shared" ref="K754:K784" si="244">IF(ISBLANK(J754),0,ROUND(J754*(1+$F$10)*(1+$F$11*E754),2))</f>
        <v>0</v>
      </c>
      <c r="L754" s="409" t="s">
        <v>777</v>
      </c>
      <c r="M754" s="30"/>
      <c r="N754" s="30"/>
      <c r="O754" s="287">
        <f>IF(ISBLANK(M754),0,ROUND(K754*M754,2))</f>
        <v>0</v>
      </c>
      <c r="P754" s="287">
        <f t="shared" si="243"/>
        <v>0</v>
      </c>
      <c r="Q754" s="288"/>
      <c r="R754" s="243"/>
      <c r="S754" s="385" t="str">
        <f t="shared" si="233"/>
        <v/>
      </c>
    </row>
    <row r="755" spans="2:19" ht="13.5" hidden="1" thickBot="1">
      <c r="B755" s="625" t="s">
        <v>187</v>
      </c>
      <c r="C755" s="401" t="s">
        <v>187</v>
      </c>
      <c r="D755" s="410"/>
      <c r="E755" s="403"/>
      <c r="F755" s="411"/>
      <c r="G755" s="405"/>
      <c r="H755" s="404"/>
      <c r="I755" s="406"/>
      <c r="J755" s="407"/>
      <c r="K755" s="412">
        <f t="shared" si="244"/>
        <v>0</v>
      </c>
      <c r="L755" s="409" t="s">
        <v>777</v>
      </c>
      <c r="M755" s="30"/>
      <c r="N755" s="30"/>
      <c r="O755" s="287">
        <f t="shared" ref="O755:O784" si="245">IF(ISBLANK(M755),0,ROUND(K755*M755,2))</f>
        <v>0</v>
      </c>
      <c r="P755" s="287">
        <f t="shared" si="243"/>
        <v>0</v>
      </c>
      <c r="Q755" s="288"/>
      <c r="R755" s="243"/>
      <c r="S755" s="385" t="str">
        <f t="shared" si="233"/>
        <v/>
      </c>
    </row>
    <row r="756" spans="2:19" ht="13.5" hidden="1" thickBot="1">
      <c r="B756" s="625" t="s">
        <v>187</v>
      </c>
      <c r="C756" s="401" t="s">
        <v>187</v>
      </c>
      <c r="D756" s="410"/>
      <c r="E756" s="403"/>
      <c r="F756" s="411"/>
      <c r="G756" s="405"/>
      <c r="H756" s="404"/>
      <c r="I756" s="406"/>
      <c r="J756" s="407"/>
      <c r="K756" s="412">
        <f t="shared" si="244"/>
        <v>0</v>
      </c>
      <c r="L756" s="409" t="s">
        <v>777</v>
      </c>
      <c r="M756" s="30"/>
      <c r="N756" s="30"/>
      <c r="O756" s="287">
        <f t="shared" si="245"/>
        <v>0</v>
      </c>
      <c r="P756" s="287">
        <f t="shared" si="243"/>
        <v>0</v>
      </c>
      <c r="Q756" s="288"/>
      <c r="R756" s="243"/>
      <c r="S756" s="385" t="str">
        <f t="shared" si="233"/>
        <v/>
      </c>
    </row>
    <row r="757" spans="2:19" ht="13.5" hidden="1" thickBot="1">
      <c r="B757" s="625" t="s">
        <v>187</v>
      </c>
      <c r="C757" s="401" t="s">
        <v>187</v>
      </c>
      <c r="D757" s="410"/>
      <c r="E757" s="403"/>
      <c r="F757" s="411"/>
      <c r="G757" s="405"/>
      <c r="H757" s="404"/>
      <c r="I757" s="406"/>
      <c r="J757" s="407"/>
      <c r="K757" s="412">
        <f t="shared" si="244"/>
        <v>0</v>
      </c>
      <c r="L757" s="409" t="s">
        <v>777</v>
      </c>
      <c r="M757" s="30"/>
      <c r="N757" s="30"/>
      <c r="O757" s="287">
        <f t="shared" si="245"/>
        <v>0</v>
      </c>
      <c r="P757" s="287">
        <f t="shared" si="243"/>
        <v>0</v>
      </c>
      <c r="Q757" s="288"/>
      <c r="R757" s="243"/>
      <c r="S757" s="385" t="str">
        <f t="shared" si="233"/>
        <v/>
      </c>
    </row>
    <row r="758" spans="2:19" ht="13.5" hidden="1" thickBot="1">
      <c r="B758" s="625" t="s">
        <v>187</v>
      </c>
      <c r="C758" s="401" t="s">
        <v>187</v>
      </c>
      <c r="D758" s="410"/>
      <c r="E758" s="403"/>
      <c r="F758" s="411"/>
      <c r="G758" s="405"/>
      <c r="H758" s="404"/>
      <c r="I758" s="406"/>
      <c r="J758" s="407"/>
      <c r="K758" s="412">
        <f t="shared" si="244"/>
        <v>0</v>
      </c>
      <c r="L758" s="409" t="s">
        <v>777</v>
      </c>
      <c r="M758" s="30"/>
      <c r="N758" s="30"/>
      <c r="O758" s="287">
        <f t="shared" si="245"/>
        <v>0</v>
      </c>
      <c r="P758" s="287">
        <f t="shared" si="243"/>
        <v>0</v>
      </c>
      <c r="Q758" s="288"/>
      <c r="R758" s="243"/>
      <c r="S758" s="385" t="str">
        <f t="shared" si="233"/>
        <v/>
      </c>
    </row>
    <row r="759" spans="2:19" ht="13.5" hidden="1" thickBot="1">
      <c r="B759" s="625" t="s">
        <v>187</v>
      </c>
      <c r="C759" s="401" t="s">
        <v>187</v>
      </c>
      <c r="D759" s="410"/>
      <c r="E759" s="403"/>
      <c r="F759" s="411"/>
      <c r="G759" s="405"/>
      <c r="H759" s="404"/>
      <c r="I759" s="406"/>
      <c r="J759" s="407"/>
      <c r="K759" s="412">
        <f t="shared" si="244"/>
        <v>0</v>
      </c>
      <c r="L759" s="409" t="s">
        <v>777</v>
      </c>
      <c r="M759" s="30"/>
      <c r="N759" s="30"/>
      <c r="O759" s="287">
        <f t="shared" si="245"/>
        <v>0</v>
      </c>
      <c r="P759" s="287">
        <f t="shared" si="243"/>
        <v>0</v>
      </c>
      <c r="Q759" s="288"/>
      <c r="R759" s="243"/>
      <c r="S759" s="385" t="str">
        <f t="shared" si="233"/>
        <v/>
      </c>
    </row>
    <row r="760" spans="2:19" ht="13.5" hidden="1" thickBot="1">
      <c r="B760" s="625" t="s">
        <v>187</v>
      </c>
      <c r="C760" s="401" t="s">
        <v>187</v>
      </c>
      <c r="D760" s="410"/>
      <c r="E760" s="403"/>
      <c r="F760" s="411"/>
      <c r="G760" s="405"/>
      <c r="H760" s="404"/>
      <c r="I760" s="406"/>
      <c r="J760" s="407"/>
      <c r="K760" s="412">
        <f t="shared" si="244"/>
        <v>0</v>
      </c>
      <c r="L760" s="409" t="s">
        <v>777</v>
      </c>
      <c r="M760" s="30"/>
      <c r="N760" s="30"/>
      <c r="O760" s="287">
        <f t="shared" si="245"/>
        <v>0</v>
      </c>
      <c r="P760" s="287">
        <f t="shared" si="243"/>
        <v>0</v>
      </c>
      <c r="Q760" s="288"/>
      <c r="R760" s="243"/>
      <c r="S760" s="385" t="str">
        <f t="shared" si="233"/>
        <v/>
      </c>
    </row>
    <row r="761" spans="2:19" ht="13.5" hidden="1" thickBot="1">
      <c r="B761" s="625" t="s">
        <v>187</v>
      </c>
      <c r="C761" s="401" t="s">
        <v>187</v>
      </c>
      <c r="D761" s="410"/>
      <c r="E761" s="403"/>
      <c r="F761" s="411"/>
      <c r="G761" s="405"/>
      <c r="H761" s="404"/>
      <c r="I761" s="406"/>
      <c r="J761" s="407"/>
      <c r="K761" s="412">
        <f t="shared" si="244"/>
        <v>0</v>
      </c>
      <c r="L761" s="409" t="s">
        <v>777</v>
      </c>
      <c r="M761" s="30"/>
      <c r="N761" s="30"/>
      <c r="O761" s="287">
        <f t="shared" si="245"/>
        <v>0</v>
      </c>
      <c r="P761" s="287">
        <f t="shared" si="243"/>
        <v>0</v>
      </c>
      <c r="Q761" s="288"/>
      <c r="R761" s="243"/>
      <c r="S761" s="385" t="str">
        <f t="shared" si="233"/>
        <v/>
      </c>
    </row>
    <row r="762" spans="2:19" ht="13.5" hidden="1" thickBot="1">
      <c r="B762" s="625" t="s">
        <v>187</v>
      </c>
      <c r="C762" s="401" t="s">
        <v>187</v>
      </c>
      <c r="D762" s="410"/>
      <c r="E762" s="403"/>
      <c r="F762" s="411"/>
      <c r="G762" s="405"/>
      <c r="H762" s="404"/>
      <c r="I762" s="406"/>
      <c r="J762" s="407"/>
      <c r="K762" s="412">
        <f t="shared" si="244"/>
        <v>0</v>
      </c>
      <c r="L762" s="409" t="s">
        <v>777</v>
      </c>
      <c r="M762" s="30"/>
      <c r="N762" s="30"/>
      <c r="O762" s="287">
        <f t="shared" si="245"/>
        <v>0</v>
      </c>
      <c r="P762" s="287">
        <f t="shared" si="243"/>
        <v>0</v>
      </c>
      <c r="Q762" s="288"/>
      <c r="R762" s="243"/>
      <c r="S762" s="385" t="str">
        <f t="shared" si="233"/>
        <v/>
      </c>
    </row>
    <row r="763" spans="2:19" ht="13.5" hidden="1" thickBot="1">
      <c r="B763" s="625" t="s">
        <v>187</v>
      </c>
      <c r="C763" s="401" t="s">
        <v>187</v>
      </c>
      <c r="D763" s="410"/>
      <c r="E763" s="403"/>
      <c r="F763" s="411"/>
      <c r="G763" s="405"/>
      <c r="H763" s="404"/>
      <c r="I763" s="406"/>
      <c r="J763" s="407"/>
      <c r="K763" s="412">
        <f t="shared" si="244"/>
        <v>0</v>
      </c>
      <c r="L763" s="409" t="s">
        <v>777</v>
      </c>
      <c r="M763" s="30"/>
      <c r="N763" s="30"/>
      <c r="O763" s="287">
        <f t="shared" si="245"/>
        <v>0</v>
      </c>
      <c r="P763" s="287">
        <f t="shared" si="243"/>
        <v>0</v>
      </c>
      <c r="Q763" s="288"/>
      <c r="R763" s="243"/>
      <c r="S763" s="385" t="str">
        <f t="shared" si="233"/>
        <v/>
      </c>
    </row>
    <row r="764" spans="2:19" ht="13.5" hidden="1" thickBot="1">
      <c r="B764" s="625" t="s">
        <v>187</v>
      </c>
      <c r="C764" s="401" t="s">
        <v>187</v>
      </c>
      <c r="D764" s="410"/>
      <c r="E764" s="403"/>
      <c r="F764" s="411"/>
      <c r="G764" s="405"/>
      <c r="H764" s="404"/>
      <c r="I764" s="406"/>
      <c r="J764" s="407"/>
      <c r="K764" s="412">
        <f t="shared" si="244"/>
        <v>0</v>
      </c>
      <c r="L764" s="409" t="s">
        <v>777</v>
      </c>
      <c r="M764" s="30"/>
      <c r="N764" s="30"/>
      <c r="O764" s="287">
        <f t="shared" si="245"/>
        <v>0</v>
      </c>
      <c r="P764" s="287">
        <f t="shared" si="243"/>
        <v>0</v>
      </c>
      <c r="Q764" s="288"/>
      <c r="R764" s="243"/>
      <c r="S764" s="385" t="str">
        <f t="shared" ref="S764:S827" si="246">IF(R764="x","x",IF(R764="y","x",IF(R764="xy","x",IF(P764&gt;0,"x",""))))</f>
        <v/>
      </c>
    </row>
    <row r="765" spans="2:19" ht="13.5" hidden="1" thickBot="1">
      <c r="B765" s="625" t="s">
        <v>187</v>
      </c>
      <c r="C765" s="401" t="s">
        <v>187</v>
      </c>
      <c r="D765" s="410"/>
      <c r="E765" s="403"/>
      <c r="F765" s="411"/>
      <c r="G765" s="405"/>
      <c r="H765" s="404"/>
      <c r="I765" s="406"/>
      <c r="J765" s="407"/>
      <c r="K765" s="412">
        <f t="shared" si="244"/>
        <v>0</v>
      </c>
      <c r="L765" s="409" t="s">
        <v>777</v>
      </c>
      <c r="M765" s="30"/>
      <c r="N765" s="30"/>
      <c r="O765" s="287">
        <f t="shared" si="245"/>
        <v>0</v>
      </c>
      <c r="P765" s="287">
        <f t="shared" si="243"/>
        <v>0</v>
      </c>
      <c r="Q765" s="288"/>
      <c r="R765" s="243"/>
      <c r="S765" s="385" t="str">
        <f t="shared" si="246"/>
        <v/>
      </c>
    </row>
    <row r="766" spans="2:19" ht="13.5" hidden="1" thickBot="1">
      <c r="B766" s="625" t="s">
        <v>187</v>
      </c>
      <c r="C766" s="401" t="s">
        <v>187</v>
      </c>
      <c r="D766" s="410"/>
      <c r="E766" s="403"/>
      <c r="F766" s="411"/>
      <c r="G766" s="405"/>
      <c r="H766" s="404"/>
      <c r="I766" s="406"/>
      <c r="J766" s="407"/>
      <c r="K766" s="412">
        <f t="shared" si="244"/>
        <v>0</v>
      </c>
      <c r="L766" s="409" t="s">
        <v>777</v>
      </c>
      <c r="M766" s="30"/>
      <c r="N766" s="30"/>
      <c r="O766" s="287">
        <f t="shared" si="245"/>
        <v>0</v>
      </c>
      <c r="P766" s="287">
        <f t="shared" si="243"/>
        <v>0</v>
      </c>
      <c r="Q766" s="288"/>
      <c r="R766" s="243"/>
      <c r="S766" s="385" t="str">
        <f t="shared" si="246"/>
        <v/>
      </c>
    </row>
    <row r="767" spans="2:19" ht="13.5" hidden="1" thickBot="1">
      <c r="B767" s="625" t="s">
        <v>187</v>
      </c>
      <c r="C767" s="401" t="s">
        <v>187</v>
      </c>
      <c r="D767" s="410"/>
      <c r="E767" s="403"/>
      <c r="F767" s="411"/>
      <c r="G767" s="405"/>
      <c r="H767" s="404"/>
      <c r="I767" s="406"/>
      <c r="J767" s="407"/>
      <c r="K767" s="412">
        <f t="shared" si="244"/>
        <v>0</v>
      </c>
      <c r="L767" s="409" t="s">
        <v>777</v>
      </c>
      <c r="M767" s="30"/>
      <c r="N767" s="30"/>
      <c r="O767" s="287">
        <f t="shared" si="245"/>
        <v>0</v>
      </c>
      <c r="P767" s="287">
        <f t="shared" si="243"/>
        <v>0</v>
      </c>
      <c r="Q767" s="288"/>
      <c r="R767" s="243"/>
      <c r="S767" s="385" t="str">
        <f t="shared" si="246"/>
        <v/>
      </c>
    </row>
    <row r="768" spans="2:19" ht="13.5" hidden="1" thickBot="1">
      <c r="B768" s="625" t="s">
        <v>187</v>
      </c>
      <c r="C768" s="401" t="s">
        <v>187</v>
      </c>
      <c r="D768" s="410"/>
      <c r="E768" s="403"/>
      <c r="F768" s="411"/>
      <c r="G768" s="405"/>
      <c r="H768" s="404"/>
      <c r="I768" s="406"/>
      <c r="J768" s="407"/>
      <c r="K768" s="412">
        <f t="shared" si="244"/>
        <v>0</v>
      </c>
      <c r="L768" s="409" t="s">
        <v>777</v>
      </c>
      <c r="M768" s="30"/>
      <c r="N768" s="30"/>
      <c r="O768" s="287">
        <f t="shared" si="245"/>
        <v>0</v>
      </c>
      <c r="P768" s="287">
        <f t="shared" si="243"/>
        <v>0</v>
      </c>
      <c r="Q768" s="288"/>
      <c r="R768" s="243"/>
      <c r="S768" s="385" t="str">
        <f t="shared" si="246"/>
        <v/>
      </c>
    </row>
    <row r="769" spans="2:19" ht="13.5" hidden="1" thickBot="1">
      <c r="B769" s="625" t="s">
        <v>187</v>
      </c>
      <c r="C769" s="401" t="s">
        <v>187</v>
      </c>
      <c r="D769" s="410"/>
      <c r="E769" s="403"/>
      <c r="F769" s="411"/>
      <c r="G769" s="405"/>
      <c r="H769" s="404"/>
      <c r="I769" s="406"/>
      <c r="J769" s="407"/>
      <c r="K769" s="412">
        <f t="shared" si="244"/>
        <v>0</v>
      </c>
      <c r="L769" s="409" t="s">
        <v>777</v>
      </c>
      <c r="M769" s="30"/>
      <c r="N769" s="30"/>
      <c r="O769" s="287">
        <f t="shared" si="245"/>
        <v>0</v>
      </c>
      <c r="P769" s="287">
        <f t="shared" si="243"/>
        <v>0</v>
      </c>
      <c r="Q769" s="288"/>
      <c r="R769" s="243"/>
      <c r="S769" s="385" t="str">
        <f t="shared" si="246"/>
        <v/>
      </c>
    </row>
    <row r="770" spans="2:19" ht="13.5" hidden="1" thickBot="1">
      <c r="B770" s="625" t="s">
        <v>187</v>
      </c>
      <c r="C770" s="401" t="s">
        <v>187</v>
      </c>
      <c r="D770" s="410"/>
      <c r="E770" s="403"/>
      <c r="F770" s="411"/>
      <c r="G770" s="405"/>
      <c r="H770" s="404"/>
      <c r="I770" s="406"/>
      <c r="J770" s="407"/>
      <c r="K770" s="412">
        <f t="shared" si="244"/>
        <v>0</v>
      </c>
      <c r="L770" s="409" t="s">
        <v>777</v>
      </c>
      <c r="M770" s="30"/>
      <c r="N770" s="30"/>
      <c r="O770" s="287">
        <f t="shared" si="245"/>
        <v>0</v>
      </c>
      <c r="P770" s="287">
        <f t="shared" si="243"/>
        <v>0</v>
      </c>
      <c r="Q770" s="288"/>
      <c r="R770" s="243"/>
      <c r="S770" s="385" t="str">
        <f t="shared" si="246"/>
        <v/>
      </c>
    </row>
    <row r="771" spans="2:19" ht="13.5" hidden="1" thickBot="1">
      <c r="B771" s="625" t="s">
        <v>187</v>
      </c>
      <c r="C771" s="401" t="s">
        <v>187</v>
      </c>
      <c r="D771" s="410"/>
      <c r="E771" s="403"/>
      <c r="F771" s="411"/>
      <c r="G771" s="405"/>
      <c r="H771" s="404"/>
      <c r="I771" s="406"/>
      <c r="J771" s="407"/>
      <c r="K771" s="412">
        <f t="shared" si="244"/>
        <v>0</v>
      </c>
      <c r="L771" s="409" t="s">
        <v>777</v>
      </c>
      <c r="M771" s="30"/>
      <c r="N771" s="30"/>
      <c r="O771" s="287">
        <f t="shared" si="245"/>
        <v>0</v>
      </c>
      <c r="P771" s="287">
        <f t="shared" si="243"/>
        <v>0</v>
      </c>
      <c r="Q771" s="288"/>
      <c r="R771" s="243"/>
      <c r="S771" s="385" t="str">
        <f t="shared" si="246"/>
        <v/>
      </c>
    </row>
    <row r="772" spans="2:19" ht="13.5" hidden="1" thickBot="1">
      <c r="B772" s="625" t="s">
        <v>187</v>
      </c>
      <c r="C772" s="401" t="s">
        <v>187</v>
      </c>
      <c r="D772" s="410"/>
      <c r="E772" s="403"/>
      <c r="F772" s="411"/>
      <c r="G772" s="405"/>
      <c r="H772" s="404"/>
      <c r="I772" s="406"/>
      <c r="J772" s="407"/>
      <c r="K772" s="412">
        <f t="shared" si="244"/>
        <v>0</v>
      </c>
      <c r="L772" s="409" t="s">
        <v>777</v>
      </c>
      <c r="M772" s="30"/>
      <c r="N772" s="30"/>
      <c r="O772" s="287">
        <f t="shared" si="245"/>
        <v>0</v>
      </c>
      <c r="P772" s="287">
        <f t="shared" si="243"/>
        <v>0</v>
      </c>
      <c r="Q772" s="288"/>
      <c r="R772" s="243"/>
      <c r="S772" s="385" t="str">
        <f t="shared" si="246"/>
        <v/>
      </c>
    </row>
    <row r="773" spans="2:19" ht="13.5" hidden="1" thickBot="1">
      <c r="B773" s="625" t="s">
        <v>187</v>
      </c>
      <c r="C773" s="401" t="s">
        <v>187</v>
      </c>
      <c r="D773" s="410"/>
      <c r="E773" s="403"/>
      <c r="F773" s="411"/>
      <c r="G773" s="405"/>
      <c r="H773" s="404"/>
      <c r="I773" s="406"/>
      <c r="J773" s="407"/>
      <c r="K773" s="412">
        <f t="shared" si="244"/>
        <v>0</v>
      </c>
      <c r="L773" s="409" t="s">
        <v>777</v>
      </c>
      <c r="M773" s="30"/>
      <c r="N773" s="30"/>
      <c r="O773" s="287">
        <f t="shared" si="245"/>
        <v>0</v>
      </c>
      <c r="P773" s="287">
        <f t="shared" si="243"/>
        <v>0</v>
      </c>
      <c r="Q773" s="288"/>
      <c r="R773" s="243"/>
      <c r="S773" s="385" t="str">
        <f t="shared" si="246"/>
        <v/>
      </c>
    </row>
    <row r="774" spans="2:19" ht="13.5" hidden="1" thickBot="1">
      <c r="B774" s="625" t="s">
        <v>187</v>
      </c>
      <c r="C774" s="401" t="s">
        <v>187</v>
      </c>
      <c r="D774" s="410"/>
      <c r="E774" s="403"/>
      <c r="F774" s="411"/>
      <c r="G774" s="405"/>
      <c r="H774" s="404"/>
      <c r="I774" s="406"/>
      <c r="J774" s="407"/>
      <c r="K774" s="412">
        <f t="shared" si="244"/>
        <v>0</v>
      </c>
      <c r="L774" s="409" t="s">
        <v>777</v>
      </c>
      <c r="M774" s="30"/>
      <c r="N774" s="30"/>
      <c r="O774" s="287">
        <f t="shared" si="245"/>
        <v>0</v>
      </c>
      <c r="P774" s="287">
        <f t="shared" si="243"/>
        <v>0</v>
      </c>
      <c r="Q774" s="288"/>
      <c r="R774" s="243"/>
      <c r="S774" s="385" t="str">
        <f t="shared" si="246"/>
        <v/>
      </c>
    </row>
    <row r="775" spans="2:19" ht="13.5" hidden="1" thickBot="1">
      <c r="B775" s="625" t="s">
        <v>187</v>
      </c>
      <c r="C775" s="401" t="s">
        <v>187</v>
      </c>
      <c r="D775" s="410"/>
      <c r="E775" s="403"/>
      <c r="F775" s="411"/>
      <c r="G775" s="405"/>
      <c r="H775" s="404"/>
      <c r="I775" s="406"/>
      <c r="J775" s="407"/>
      <c r="K775" s="412">
        <f t="shared" si="244"/>
        <v>0</v>
      </c>
      <c r="L775" s="409" t="s">
        <v>777</v>
      </c>
      <c r="M775" s="30"/>
      <c r="N775" s="30"/>
      <c r="O775" s="287">
        <f t="shared" si="245"/>
        <v>0</v>
      </c>
      <c r="P775" s="287">
        <f t="shared" si="243"/>
        <v>0</v>
      </c>
      <c r="Q775" s="288"/>
      <c r="R775" s="243"/>
      <c r="S775" s="385" t="str">
        <f t="shared" si="246"/>
        <v/>
      </c>
    </row>
    <row r="776" spans="2:19" ht="13.5" hidden="1" thickBot="1">
      <c r="B776" s="625" t="s">
        <v>187</v>
      </c>
      <c r="C776" s="401" t="s">
        <v>187</v>
      </c>
      <c r="D776" s="410"/>
      <c r="E776" s="403"/>
      <c r="F776" s="411"/>
      <c r="G776" s="405"/>
      <c r="H776" s="404"/>
      <c r="I776" s="406"/>
      <c r="J776" s="407"/>
      <c r="K776" s="412">
        <f t="shared" si="244"/>
        <v>0</v>
      </c>
      <c r="L776" s="409" t="s">
        <v>777</v>
      </c>
      <c r="M776" s="30"/>
      <c r="N776" s="30"/>
      <c r="O776" s="287">
        <f t="shared" si="245"/>
        <v>0</v>
      </c>
      <c r="P776" s="287">
        <f t="shared" si="243"/>
        <v>0</v>
      </c>
      <c r="Q776" s="288"/>
      <c r="R776" s="243"/>
      <c r="S776" s="385" t="str">
        <f t="shared" si="246"/>
        <v/>
      </c>
    </row>
    <row r="777" spans="2:19" ht="13.5" hidden="1" thickBot="1">
      <c r="B777" s="625" t="s">
        <v>187</v>
      </c>
      <c r="C777" s="401" t="s">
        <v>187</v>
      </c>
      <c r="D777" s="410"/>
      <c r="E777" s="403"/>
      <c r="F777" s="411"/>
      <c r="G777" s="405"/>
      <c r="H777" s="404"/>
      <c r="I777" s="406"/>
      <c r="J777" s="407"/>
      <c r="K777" s="412">
        <f t="shared" si="244"/>
        <v>0</v>
      </c>
      <c r="L777" s="409" t="s">
        <v>777</v>
      </c>
      <c r="M777" s="30"/>
      <c r="N777" s="30"/>
      <c r="O777" s="287">
        <f t="shared" si="245"/>
        <v>0</v>
      </c>
      <c r="P777" s="287">
        <f t="shared" si="243"/>
        <v>0</v>
      </c>
      <c r="Q777" s="288"/>
      <c r="R777" s="243"/>
      <c r="S777" s="385" t="str">
        <f t="shared" si="246"/>
        <v/>
      </c>
    </row>
    <row r="778" spans="2:19" ht="13.5" hidden="1" thickBot="1">
      <c r="B778" s="625" t="s">
        <v>187</v>
      </c>
      <c r="C778" s="401" t="s">
        <v>187</v>
      </c>
      <c r="D778" s="410"/>
      <c r="E778" s="403"/>
      <c r="F778" s="411"/>
      <c r="G778" s="405"/>
      <c r="H778" s="404"/>
      <c r="I778" s="406"/>
      <c r="J778" s="407"/>
      <c r="K778" s="412">
        <f t="shared" si="244"/>
        <v>0</v>
      </c>
      <c r="L778" s="409" t="s">
        <v>777</v>
      </c>
      <c r="M778" s="30"/>
      <c r="N778" s="30"/>
      <c r="O778" s="287">
        <f t="shared" si="245"/>
        <v>0</v>
      </c>
      <c r="P778" s="287">
        <f t="shared" si="243"/>
        <v>0</v>
      </c>
      <c r="Q778" s="288"/>
      <c r="R778" s="243"/>
      <c r="S778" s="385" t="str">
        <f t="shared" si="246"/>
        <v/>
      </c>
    </row>
    <row r="779" spans="2:19" ht="13.5" hidden="1" thickBot="1">
      <c r="B779" s="625" t="s">
        <v>187</v>
      </c>
      <c r="C779" s="401" t="s">
        <v>187</v>
      </c>
      <c r="D779" s="410"/>
      <c r="E779" s="403"/>
      <c r="F779" s="411"/>
      <c r="G779" s="405"/>
      <c r="H779" s="404"/>
      <c r="I779" s="406"/>
      <c r="J779" s="407"/>
      <c r="K779" s="412">
        <f t="shared" si="244"/>
        <v>0</v>
      </c>
      <c r="L779" s="409" t="s">
        <v>777</v>
      </c>
      <c r="M779" s="30"/>
      <c r="N779" s="30"/>
      <c r="O779" s="287">
        <f t="shared" si="245"/>
        <v>0</v>
      </c>
      <c r="P779" s="287">
        <f t="shared" si="243"/>
        <v>0</v>
      </c>
      <c r="Q779" s="288"/>
      <c r="R779" s="243"/>
      <c r="S779" s="385" t="str">
        <f t="shared" si="246"/>
        <v/>
      </c>
    </row>
    <row r="780" spans="2:19" ht="13.5" hidden="1" thickBot="1">
      <c r="B780" s="625" t="s">
        <v>187</v>
      </c>
      <c r="C780" s="401" t="s">
        <v>187</v>
      </c>
      <c r="D780" s="410"/>
      <c r="E780" s="403"/>
      <c r="F780" s="411"/>
      <c r="G780" s="405"/>
      <c r="H780" s="404"/>
      <c r="I780" s="406"/>
      <c r="J780" s="407"/>
      <c r="K780" s="412">
        <f t="shared" si="244"/>
        <v>0</v>
      </c>
      <c r="L780" s="409" t="s">
        <v>777</v>
      </c>
      <c r="M780" s="30"/>
      <c r="N780" s="30"/>
      <c r="O780" s="287">
        <f t="shared" si="245"/>
        <v>0</v>
      </c>
      <c r="P780" s="287">
        <f t="shared" si="243"/>
        <v>0</v>
      </c>
      <c r="Q780" s="288"/>
      <c r="R780" s="243"/>
      <c r="S780" s="385" t="str">
        <f t="shared" si="246"/>
        <v/>
      </c>
    </row>
    <row r="781" spans="2:19" ht="13.5" hidden="1" thickBot="1">
      <c r="B781" s="625" t="s">
        <v>187</v>
      </c>
      <c r="C781" s="401" t="s">
        <v>187</v>
      </c>
      <c r="D781" s="410"/>
      <c r="E781" s="403"/>
      <c r="F781" s="411"/>
      <c r="G781" s="405"/>
      <c r="H781" s="404"/>
      <c r="I781" s="406"/>
      <c r="J781" s="407"/>
      <c r="K781" s="412">
        <f t="shared" si="244"/>
        <v>0</v>
      </c>
      <c r="L781" s="409" t="s">
        <v>777</v>
      </c>
      <c r="M781" s="30"/>
      <c r="N781" s="30"/>
      <c r="O781" s="287">
        <f t="shared" si="245"/>
        <v>0</v>
      </c>
      <c r="P781" s="287">
        <f t="shared" si="243"/>
        <v>0</v>
      </c>
      <c r="Q781" s="288"/>
      <c r="R781" s="243"/>
      <c r="S781" s="385" t="str">
        <f t="shared" si="246"/>
        <v/>
      </c>
    </row>
    <row r="782" spans="2:19" ht="13.5" hidden="1" thickBot="1">
      <c r="B782" s="625" t="s">
        <v>187</v>
      </c>
      <c r="C782" s="401" t="s">
        <v>187</v>
      </c>
      <c r="D782" s="410"/>
      <c r="E782" s="403"/>
      <c r="F782" s="411"/>
      <c r="G782" s="405"/>
      <c r="H782" s="404"/>
      <c r="I782" s="406"/>
      <c r="J782" s="407"/>
      <c r="K782" s="412">
        <f t="shared" si="244"/>
        <v>0</v>
      </c>
      <c r="L782" s="409" t="s">
        <v>777</v>
      </c>
      <c r="M782" s="30"/>
      <c r="N782" s="30"/>
      <c r="O782" s="287">
        <f t="shared" si="245"/>
        <v>0</v>
      </c>
      <c r="P782" s="287">
        <f t="shared" si="243"/>
        <v>0</v>
      </c>
      <c r="Q782" s="288"/>
      <c r="R782" s="243"/>
      <c r="S782" s="385" t="str">
        <f t="shared" si="246"/>
        <v/>
      </c>
    </row>
    <row r="783" spans="2:19" ht="13.5" hidden="1" thickBot="1">
      <c r="B783" s="625" t="s">
        <v>187</v>
      </c>
      <c r="C783" s="401" t="s">
        <v>187</v>
      </c>
      <c r="D783" s="410"/>
      <c r="E783" s="403"/>
      <c r="F783" s="411"/>
      <c r="G783" s="405"/>
      <c r="H783" s="404"/>
      <c r="I783" s="406"/>
      <c r="J783" s="407"/>
      <c r="K783" s="412">
        <f t="shared" si="244"/>
        <v>0</v>
      </c>
      <c r="L783" s="409" t="s">
        <v>777</v>
      </c>
      <c r="M783" s="30"/>
      <c r="N783" s="30"/>
      <c r="O783" s="287">
        <f t="shared" si="245"/>
        <v>0</v>
      </c>
      <c r="P783" s="287">
        <f t="shared" si="243"/>
        <v>0</v>
      </c>
      <c r="Q783" s="288"/>
      <c r="R783" s="243"/>
      <c r="S783" s="385" t="str">
        <f t="shared" si="246"/>
        <v/>
      </c>
    </row>
    <row r="784" spans="2:19" ht="13.5" hidden="1" thickBot="1">
      <c r="B784" s="626" t="s">
        <v>187</v>
      </c>
      <c r="C784" s="413" t="s">
        <v>187</v>
      </c>
      <c r="D784" s="414"/>
      <c r="E784" s="415"/>
      <c r="F784" s="416"/>
      <c r="G784" s="417"/>
      <c r="H784" s="418"/>
      <c r="I784" s="419"/>
      <c r="J784" s="420"/>
      <c r="K784" s="421">
        <f t="shared" si="244"/>
        <v>0</v>
      </c>
      <c r="L784" s="422" t="s">
        <v>777</v>
      </c>
      <c r="M784" s="30"/>
      <c r="N784" s="30"/>
      <c r="O784" s="423">
        <f t="shared" si="245"/>
        <v>0</v>
      </c>
      <c r="P784" s="423">
        <f t="shared" si="243"/>
        <v>0</v>
      </c>
      <c r="Q784" s="288"/>
      <c r="R784" s="243"/>
      <c r="S784" s="385" t="str">
        <f t="shared" si="246"/>
        <v/>
      </c>
    </row>
    <row r="785" spans="2:19" ht="13.5" hidden="1" thickBot="1">
      <c r="B785" s="627" t="s">
        <v>338</v>
      </c>
      <c r="C785" s="426"/>
      <c r="D785" s="427" t="s">
        <v>501</v>
      </c>
      <c r="E785" s="424"/>
      <c r="F785" s="380"/>
      <c r="G785" s="381"/>
      <c r="H785" s="382"/>
      <c r="I785" s="383"/>
      <c r="J785" s="383"/>
      <c r="K785" s="383"/>
      <c r="L785" s="383" t="s">
        <v>777</v>
      </c>
      <c r="M785" s="382"/>
      <c r="N785" s="383"/>
      <c r="O785" s="383"/>
      <c r="P785" s="295"/>
      <c r="Q785" s="296">
        <f>SUM(P786:P1644)</f>
        <v>0</v>
      </c>
      <c r="R785" s="315" t="str">
        <f>IF(Q785&gt;0,"xy","")</f>
        <v/>
      </c>
      <c r="S785" s="385" t="str">
        <f t="shared" si="246"/>
        <v/>
      </c>
    </row>
    <row r="786" spans="2:19" ht="13.5" hidden="1" thickBot="1">
      <c r="B786" s="609">
        <v>702</v>
      </c>
      <c r="C786" s="610" t="s">
        <v>489</v>
      </c>
      <c r="D786" s="611" t="s">
        <v>543</v>
      </c>
      <c r="E786" s="602"/>
      <c r="F786" s="603">
        <v>0</v>
      </c>
      <c r="G786" s="604"/>
      <c r="H786" s="605">
        <v>0</v>
      </c>
      <c r="I786" s="675">
        <v>456.36</v>
      </c>
      <c r="J786" s="675">
        <f t="shared" ref="J786:J791" si="247">IF(ISBLANK(I786),"",SUM(H786:I786))</f>
        <v>456.36</v>
      </c>
      <c r="K786" s="606">
        <f t="shared" ref="K786:K849" si="248">IF(ISBLANK(I786),0,ROUND(J786*(1+$F$10)*(1+$F$11*E786),2))</f>
        <v>553.79</v>
      </c>
      <c r="L786" s="389" t="s">
        <v>177</v>
      </c>
      <c r="M786" s="30"/>
      <c r="N786" s="30"/>
      <c r="O786" s="287">
        <f t="shared" ref="O786:O849" si="249">IF(ISBLANK(M786),0,ROUND(K786*M786,2))</f>
        <v>0</v>
      </c>
      <c r="P786" s="287">
        <f t="shared" ref="P786:P849" si="250">IF(ISBLANK(N786),0,ROUND(M786*N786,2))</f>
        <v>0</v>
      </c>
      <c r="Q786" s="288"/>
      <c r="R786" s="243"/>
      <c r="S786" s="385" t="str">
        <f t="shared" si="246"/>
        <v/>
      </c>
    </row>
    <row r="787" spans="2:19" ht="13.5" hidden="1" thickBot="1">
      <c r="B787" s="609">
        <v>703</v>
      </c>
      <c r="C787" s="610" t="s">
        <v>489</v>
      </c>
      <c r="D787" s="611" t="s">
        <v>544</v>
      </c>
      <c r="E787" s="602"/>
      <c r="F787" s="603">
        <v>0</v>
      </c>
      <c r="G787" s="604"/>
      <c r="H787" s="605">
        <v>0</v>
      </c>
      <c r="I787" s="675">
        <v>57.9</v>
      </c>
      <c r="J787" s="675">
        <f t="shared" si="247"/>
        <v>57.9</v>
      </c>
      <c r="K787" s="606">
        <f t="shared" si="248"/>
        <v>70.260000000000005</v>
      </c>
      <c r="L787" s="389" t="s">
        <v>21</v>
      </c>
      <c r="M787" s="30"/>
      <c r="N787" s="30"/>
      <c r="O787" s="287">
        <f t="shared" si="249"/>
        <v>0</v>
      </c>
      <c r="P787" s="287">
        <f t="shared" si="250"/>
        <v>0</v>
      </c>
      <c r="Q787" s="288"/>
      <c r="R787" s="243"/>
      <c r="S787" s="385" t="str">
        <f t="shared" si="246"/>
        <v/>
      </c>
    </row>
    <row r="788" spans="2:19" ht="13.5" hidden="1" thickBot="1">
      <c r="B788" s="609">
        <v>704</v>
      </c>
      <c r="C788" s="610" t="s">
        <v>489</v>
      </c>
      <c r="D788" s="611" t="s">
        <v>545</v>
      </c>
      <c r="E788" s="602"/>
      <c r="F788" s="603">
        <v>0</v>
      </c>
      <c r="G788" s="604"/>
      <c r="H788" s="605">
        <v>0</v>
      </c>
      <c r="I788" s="675">
        <v>44.54</v>
      </c>
      <c r="J788" s="675">
        <f t="shared" si="247"/>
        <v>44.54</v>
      </c>
      <c r="K788" s="606">
        <f t="shared" si="248"/>
        <v>54.05</v>
      </c>
      <c r="L788" s="389" t="s">
        <v>21</v>
      </c>
      <c r="M788" s="30"/>
      <c r="N788" s="30"/>
      <c r="O788" s="287">
        <f t="shared" si="249"/>
        <v>0</v>
      </c>
      <c r="P788" s="287">
        <f t="shared" si="250"/>
        <v>0</v>
      </c>
      <c r="Q788" s="288"/>
      <c r="R788" s="243"/>
      <c r="S788" s="385" t="str">
        <f t="shared" si="246"/>
        <v/>
      </c>
    </row>
    <row r="789" spans="2:19" ht="13.5" hidden="1" thickBot="1">
      <c r="B789" s="609">
        <v>740</v>
      </c>
      <c r="C789" s="610" t="s">
        <v>489</v>
      </c>
      <c r="D789" s="611" t="s">
        <v>685</v>
      </c>
      <c r="E789" s="602"/>
      <c r="F789" s="603">
        <v>0</v>
      </c>
      <c r="G789" s="604"/>
      <c r="H789" s="605">
        <v>0</v>
      </c>
      <c r="I789" s="675">
        <v>54.82</v>
      </c>
      <c r="J789" s="675">
        <f t="shared" si="247"/>
        <v>54.82</v>
      </c>
      <c r="K789" s="606">
        <f t="shared" si="248"/>
        <v>66.52</v>
      </c>
      <c r="L789" s="389" t="s">
        <v>21</v>
      </c>
      <c r="M789" s="30"/>
      <c r="N789" s="30"/>
      <c r="O789" s="287">
        <f t="shared" si="249"/>
        <v>0</v>
      </c>
      <c r="P789" s="287">
        <f t="shared" si="250"/>
        <v>0</v>
      </c>
      <c r="Q789" s="288"/>
      <c r="R789" s="243"/>
      <c r="S789" s="385" t="str">
        <f t="shared" si="246"/>
        <v/>
      </c>
    </row>
    <row r="790" spans="2:19" ht="13.5" hidden="1" thickBot="1">
      <c r="B790" s="609">
        <v>741</v>
      </c>
      <c r="C790" s="610" t="s">
        <v>489</v>
      </c>
      <c r="D790" s="611" t="s">
        <v>686</v>
      </c>
      <c r="E790" s="602"/>
      <c r="F790" s="603"/>
      <c r="G790" s="604"/>
      <c r="H790" s="605"/>
      <c r="I790" s="675">
        <v>149.38</v>
      </c>
      <c r="J790" s="675">
        <f t="shared" si="247"/>
        <v>149.38</v>
      </c>
      <c r="K790" s="606">
        <f t="shared" si="248"/>
        <v>181.27</v>
      </c>
      <c r="L790" s="389" t="s">
        <v>21</v>
      </c>
      <c r="M790" s="30"/>
      <c r="N790" s="30"/>
      <c r="O790" s="287">
        <f t="shared" si="249"/>
        <v>0</v>
      </c>
      <c r="P790" s="287">
        <f t="shared" si="250"/>
        <v>0</v>
      </c>
      <c r="Q790" s="288"/>
      <c r="R790" s="243"/>
      <c r="S790" s="385" t="str">
        <f t="shared" si="246"/>
        <v/>
      </c>
    </row>
    <row r="791" spans="2:19" ht="13.5" hidden="1" thickBot="1">
      <c r="B791" s="609">
        <v>742</v>
      </c>
      <c r="C791" s="610" t="s">
        <v>489</v>
      </c>
      <c r="D791" s="611" t="s">
        <v>637</v>
      </c>
      <c r="E791" s="602"/>
      <c r="F791" s="603"/>
      <c r="G791" s="604"/>
      <c r="H791" s="605"/>
      <c r="I791" s="675">
        <v>45.23</v>
      </c>
      <c r="J791" s="675">
        <f t="shared" si="247"/>
        <v>45.23</v>
      </c>
      <c r="K791" s="606">
        <f t="shared" si="248"/>
        <v>54.89</v>
      </c>
      <c r="L791" s="389" t="s">
        <v>21</v>
      </c>
      <c r="M791" s="30"/>
      <c r="N791" s="30"/>
      <c r="O791" s="287">
        <f t="shared" si="249"/>
        <v>0</v>
      </c>
      <c r="P791" s="287">
        <f t="shared" si="250"/>
        <v>0</v>
      </c>
      <c r="Q791" s="288"/>
      <c r="R791" s="243"/>
      <c r="S791" s="385" t="str">
        <f t="shared" si="246"/>
        <v/>
      </c>
    </row>
    <row r="792" spans="2:19" ht="13.5" hidden="1" thickBot="1">
      <c r="B792" s="609" t="s">
        <v>546</v>
      </c>
      <c r="C792" s="610" t="s">
        <v>489</v>
      </c>
      <c r="D792" s="611" t="s">
        <v>638</v>
      </c>
      <c r="E792" s="602"/>
      <c r="F792" s="603"/>
      <c r="G792" s="604"/>
      <c r="H792" s="605"/>
      <c r="I792" s="675">
        <v>18.16</v>
      </c>
      <c r="J792" s="675">
        <f t="shared" ref="J792:J793" si="251">IF(ISBLANK(I792),"",SUM(H792:I792))</f>
        <v>18.16</v>
      </c>
      <c r="K792" s="606">
        <f t="shared" si="248"/>
        <v>22.04</v>
      </c>
      <c r="L792" s="389" t="s">
        <v>21</v>
      </c>
      <c r="M792" s="30"/>
      <c r="N792" s="30"/>
      <c r="O792" s="287">
        <f t="shared" si="249"/>
        <v>0</v>
      </c>
      <c r="P792" s="287">
        <f t="shared" si="250"/>
        <v>0</v>
      </c>
      <c r="Q792" s="288"/>
      <c r="R792" s="243"/>
      <c r="S792" s="385" t="str">
        <f t="shared" si="246"/>
        <v/>
      </c>
    </row>
    <row r="793" spans="2:19" ht="13.5" hidden="1" thickBot="1">
      <c r="B793" s="609">
        <v>743</v>
      </c>
      <c r="C793" s="610" t="s">
        <v>489</v>
      </c>
      <c r="D793" s="611" t="s">
        <v>639</v>
      </c>
      <c r="E793" s="602"/>
      <c r="F793" s="603"/>
      <c r="G793" s="604"/>
      <c r="H793" s="605"/>
      <c r="I793" s="675">
        <v>222.01</v>
      </c>
      <c r="J793" s="675">
        <f t="shared" si="251"/>
        <v>222.01</v>
      </c>
      <c r="K793" s="606">
        <f t="shared" si="248"/>
        <v>269.41000000000003</v>
      </c>
      <c r="L793" s="389" t="s">
        <v>21</v>
      </c>
      <c r="M793" s="30"/>
      <c r="N793" s="30"/>
      <c r="O793" s="287">
        <f t="shared" si="249"/>
        <v>0</v>
      </c>
      <c r="P793" s="287">
        <f t="shared" si="250"/>
        <v>0</v>
      </c>
      <c r="Q793" s="288"/>
      <c r="R793" s="243"/>
      <c r="S793" s="385" t="str">
        <f t="shared" si="246"/>
        <v/>
      </c>
    </row>
    <row r="794" spans="2:19" ht="13.5" hidden="1" thickBot="1">
      <c r="B794" s="609" t="s">
        <v>547</v>
      </c>
      <c r="C794" s="610" t="s">
        <v>489</v>
      </c>
      <c r="D794" s="611" t="s">
        <v>640</v>
      </c>
      <c r="E794" s="602"/>
      <c r="F794" s="603"/>
      <c r="G794" s="604"/>
      <c r="H794" s="605"/>
      <c r="I794" s="675">
        <v>88.74</v>
      </c>
      <c r="J794" s="675">
        <f t="shared" ref="J794:J833" si="252">IF(ISBLANK(I794),"",SUM(H794:I794))</f>
        <v>88.74</v>
      </c>
      <c r="K794" s="606">
        <f t="shared" si="248"/>
        <v>107.69</v>
      </c>
      <c r="L794" s="389" t="s">
        <v>21</v>
      </c>
      <c r="M794" s="30"/>
      <c r="N794" s="30"/>
      <c r="O794" s="287">
        <f t="shared" si="249"/>
        <v>0</v>
      </c>
      <c r="P794" s="287">
        <f t="shared" si="250"/>
        <v>0</v>
      </c>
      <c r="Q794" s="288"/>
      <c r="R794" s="243"/>
      <c r="S794" s="385" t="str">
        <f t="shared" si="246"/>
        <v/>
      </c>
    </row>
    <row r="795" spans="2:19" ht="13.5" hidden="1" thickBot="1">
      <c r="B795" s="609">
        <v>744</v>
      </c>
      <c r="C795" s="610" t="s">
        <v>489</v>
      </c>
      <c r="D795" s="611" t="s">
        <v>641</v>
      </c>
      <c r="E795" s="602"/>
      <c r="F795" s="603"/>
      <c r="G795" s="604"/>
      <c r="H795" s="605"/>
      <c r="I795" s="675">
        <v>421.76</v>
      </c>
      <c r="J795" s="675">
        <f t="shared" si="252"/>
        <v>421.76</v>
      </c>
      <c r="K795" s="606">
        <f t="shared" si="248"/>
        <v>511.81</v>
      </c>
      <c r="L795" s="389" t="s">
        <v>21</v>
      </c>
      <c r="M795" s="30"/>
      <c r="N795" s="30"/>
      <c r="O795" s="287">
        <f t="shared" si="249"/>
        <v>0</v>
      </c>
      <c r="P795" s="287">
        <f t="shared" si="250"/>
        <v>0</v>
      </c>
      <c r="Q795" s="288"/>
      <c r="R795" s="243"/>
      <c r="S795" s="385" t="str">
        <f t="shared" si="246"/>
        <v/>
      </c>
    </row>
    <row r="796" spans="2:19" ht="26.25" hidden="1" thickBot="1">
      <c r="B796" s="609" t="s">
        <v>548</v>
      </c>
      <c r="C796" s="610" t="s">
        <v>489</v>
      </c>
      <c r="D796" s="611" t="s">
        <v>642</v>
      </c>
      <c r="E796" s="602"/>
      <c r="F796" s="603"/>
      <c r="G796" s="604"/>
      <c r="H796" s="605"/>
      <c r="I796" s="675">
        <v>168.57</v>
      </c>
      <c r="J796" s="675">
        <f t="shared" si="252"/>
        <v>168.57</v>
      </c>
      <c r="K796" s="606">
        <f t="shared" si="248"/>
        <v>204.56</v>
      </c>
      <c r="L796" s="389" t="s">
        <v>21</v>
      </c>
      <c r="M796" s="30"/>
      <c r="N796" s="30"/>
      <c r="O796" s="287">
        <f t="shared" si="249"/>
        <v>0</v>
      </c>
      <c r="P796" s="287">
        <f t="shared" si="250"/>
        <v>0</v>
      </c>
      <c r="Q796" s="288"/>
      <c r="R796" s="243"/>
      <c r="S796" s="385" t="str">
        <f t="shared" si="246"/>
        <v/>
      </c>
    </row>
    <row r="797" spans="2:19" ht="13.5" hidden="1" thickBot="1">
      <c r="B797" s="609">
        <v>745</v>
      </c>
      <c r="C797" s="610" t="s">
        <v>489</v>
      </c>
      <c r="D797" s="611" t="s">
        <v>643</v>
      </c>
      <c r="E797" s="602"/>
      <c r="F797" s="603"/>
      <c r="G797" s="604"/>
      <c r="H797" s="605"/>
      <c r="I797" s="675">
        <v>481.03</v>
      </c>
      <c r="J797" s="675">
        <f t="shared" si="252"/>
        <v>481.03</v>
      </c>
      <c r="K797" s="606">
        <f t="shared" si="248"/>
        <v>583.73</v>
      </c>
      <c r="L797" s="389" t="s">
        <v>21</v>
      </c>
      <c r="M797" s="30"/>
      <c r="N797" s="30"/>
      <c r="O797" s="287">
        <f t="shared" si="249"/>
        <v>0</v>
      </c>
      <c r="P797" s="287">
        <f t="shared" si="250"/>
        <v>0</v>
      </c>
      <c r="Q797" s="288"/>
      <c r="R797" s="243"/>
      <c r="S797" s="385" t="str">
        <f t="shared" si="246"/>
        <v/>
      </c>
    </row>
    <row r="798" spans="2:19" ht="13.5" hidden="1" thickBot="1">
      <c r="B798" s="609" t="s">
        <v>549</v>
      </c>
      <c r="C798" s="610" t="s">
        <v>489</v>
      </c>
      <c r="D798" s="611" t="s">
        <v>644</v>
      </c>
      <c r="E798" s="602"/>
      <c r="F798" s="603"/>
      <c r="G798" s="604"/>
      <c r="H798" s="605"/>
      <c r="I798" s="675">
        <v>192.55</v>
      </c>
      <c r="J798" s="675">
        <f t="shared" si="252"/>
        <v>192.55</v>
      </c>
      <c r="K798" s="606">
        <f t="shared" si="248"/>
        <v>233.66</v>
      </c>
      <c r="L798" s="389" t="s">
        <v>21</v>
      </c>
      <c r="M798" s="30"/>
      <c r="N798" s="30"/>
      <c r="O798" s="287">
        <f t="shared" si="249"/>
        <v>0</v>
      </c>
      <c r="P798" s="287">
        <f t="shared" si="250"/>
        <v>0</v>
      </c>
      <c r="Q798" s="288"/>
      <c r="R798" s="243"/>
      <c r="S798" s="385" t="str">
        <f t="shared" si="246"/>
        <v/>
      </c>
    </row>
    <row r="799" spans="2:19" ht="13.5" hidden="1" thickBot="1">
      <c r="B799" s="609">
        <v>746</v>
      </c>
      <c r="C799" s="610" t="s">
        <v>489</v>
      </c>
      <c r="D799" s="611" t="s">
        <v>645</v>
      </c>
      <c r="E799" s="602"/>
      <c r="F799" s="603"/>
      <c r="G799" s="604"/>
      <c r="H799" s="605"/>
      <c r="I799" s="675">
        <v>577.30999999999995</v>
      </c>
      <c r="J799" s="675">
        <f t="shared" si="252"/>
        <v>577.30999999999995</v>
      </c>
      <c r="K799" s="606">
        <f t="shared" si="248"/>
        <v>700.57</v>
      </c>
      <c r="L799" s="389" t="s">
        <v>21</v>
      </c>
      <c r="M799" s="30"/>
      <c r="N799" s="30"/>
      <c r="O799" s="287">
        <f t="shared" si="249"/>
        <v>0</v>
      </c>
      <c r="P799" s="287">
        <f t="shared" si="250"/>
        <v>0</v>
      </c>
      <c r="Q799" s="288"/>
      <c r="R799" s="243"/>
      <c r="S799" s="385" t="str">
        <f t="shared" si="246"/>
        <v/>
      </c>
    </row>
    <row r="800" spans="2:19" ht="13.5" hidden="1" thickBot="1">
      <c r="B800" s="609" t="s">
        <v>550</v>
      </c>
      <c r="C800" s="610" t="s">
        <v>489</v>
      </c>
      <c r="D800" s="611" t="s">
        <v>646</v>
      </c>
      <c r="E800" s="602"/>
      <c r="F800" s="603"/>
      <c r="G800" s="604"/>
      <c r="H800" s="605"/>
      <c r="I800" s="675">
        <v>230.92</v>
      </c>
      <c r="J800" s="675">
        <f t="shared" si="252"/>
        <v>230.92</v>
      </c>
      <c r="K800" s="606">
        <f t="shared" si="248"/>
        <v>280.22000000000003</v>
      </c>
      <c r="L800" s="389" t="s">
        <v>21</v>
      </c>
      <c r="M800" s="30"/>
      <c r="N800" s="30"/>
      <c r="O800" s="287">
        <f t="shared" si="249"/>
        <v>0</v>
      </c>
      <c r="P800" s="287">
        <f t="shared" si="250"/>
        <v>0</v>
      </c>
      <c r="Q800" s="288"/>
      <c r="R800" s="243"/>
      <c r="S800" s="385" t="str">
        <f t="shared" si="246"/>
        <v/>
      </c>
    </row>
    <row r="801" spans="2:19" ht="13.5" hidden="1" thickBot="1">
      <c r="B801" s="609">
        <v>747</v>
      </c>
      <c r="C801" s="610" t="s">
        <v>489</v>
      </c>
      <c r="D801" s="611" t="s">
        <v>647</v>
      </c>
      <c r="E801" s="602"/>
      <c r="F801" s="603"/>
      <c r="G801" s="604"/>
      <c r="H801" s="605"/>
      <c r="I801" s="675">
        <v>867.84</v>
      </c>
      <c r="J801" s="675">
        <f t="shared" si="252"/>
        <v>867.84</v>
      </c>
      <c r="K801" s="606">
        <f t="shared" si="248"/>
        <v>1053.1199999999999</v>
      </c>
      <c r="L801" s="389" t="s">
        <v>21</v>
      </c>
      <c r="M801" s="30"/>
      <c r="N801" s="30"/>
      <c r="O801" s="287">
        <f t="shared" si="249"/>
        <v>0</v>
      </c>
      <c r="P801" s="287">
        <f t="shared" si="250"/>
        <v>0</v>
      </c>
      <c r="Q801" s="288"/>
      <c r="R801" s="243"/>
      <c r="S801" s="385" t="str">
        <f t="shared" si="246"/>
        <v/>
      </c>
    </row>
    <row r="802" spans="2:19" ht="13.5" hidden="1" thickBot="1">
      <c r="B802" s="609" t="s">
        <v>551</v>
      </c>
      <c r="C802" s="610" t="s">
        <v>489</v>
      </c>
      <c r="D802" s="611" t="s">
        <v>648</v>
      </c>
      <c r="E802" s="602"/>
      <c r="F802" s="603"/>
      <c r="G802" s="604"/>
      <c r="H802" s="605"/>
      <c r="I802" s="675">
        <v>347.07</v>
      </c>
      <c r="J802" s="675">
        <f t="shared" si="252"/>
        <v>347.07</v>
      </c>
      <c r="K802" s="606">
        <f t="shared" si="248"/>
        <v>421.17</v>
      </c>
      <c r="L802" s="389" t="s">
        <v>21</v>
      </c>
      <c r="M802" s="30"/>
      <c r="N802" s="30"/>
      <c r="O802" s="287">
        <f t="shared" si="249"/>
        <v>0</v>
      </c>
      <c r="P802" s="287">
        <f t="shared" si="250"/>
        <v>0</v>
      </c>
      <c r="Q802" s="288"/>
      <c r="R802" s="243"/>
      <c r="S802" s="385" t="str">
        <f t="shared" si="246"/>
        <v/>
      </c>
    </row>
    <row r="803" spans="2:19" ht="13.5" hidden="1" thickBot="1">
      <c r="B803" s="609">
        <v>748</v>
      </c>
      <c r="C803" s="610" t="s">
        <v>489</v>
      </c>
      <c r="D803" s="611" t="s">
        <v>649</v>
      </c>
      <c r="E803" s="602"/>
      <c r="F803" s="603"/>
      <c r="G803" s="604"/>
      <c r="H803" s="605"/>
      <c r="I803" s="675">
        <v>69.89</v>
      </c>
      <c r="J803" s="675">
        <f t="shared" si="252"/>
        <v>69.89</v>
      </c>
      <c r="K803" s="606">
        <f t="shared" si="248"/>
        <v>84.81</v>
      </c>
      <c r="L803" s="389" t="s">
        <v>21</v>
      </c>
      <c r="M803" s="30"/>
      <c r="N803" s="30"/>
      <c r="O803" s="287">
        <f t="shared" si="249"/>
        <v>0</v>
      </c>
      <c r="P803" s="287">
        <f t="shared" si="250"/>
        <v>0</v>
      </c>
      <c r="Q803" s="288"/>
      <c r="R803" s="243"/>
      <c r="S803" s="385" t="str">
        <f t="shared" si="246"/>
        <v/>
      </c>
    </row>
    <row r="804" spans="2:19" ht="13.5" hidden="1" thickBot="1">
      <c r="B804" s="609" t="s">
        <v>552</v>
      </c>
      <c r="C804" s="610" t="s">
        <v>489</v>
      </c>
      <c r="D804" s="611" t="s">
        <v>650</v>
      </c>
      <c r="E804" s="602"/>
      <c r="F804" s="603"/>
      <c r="G804" s="604"/>
      <c r="H804" s="605"/>
      <c r="I804" s="675">
        <v>28.09</v>
      </c>
      <c r="J804" s="675">
        <f t="shared" si="252"/>
        <v>28.09</v>
      </c>
      <c r="K804" s="606">
        <f t="shared" si="248"/>
        <v>34.090000000000003</v>
      </c>
      <c r="L804" s="389" t="s">
        <v>21</v>
      </c>
      <c r="M804" s="30"/>
      <c r="N804" s="30"/>
      <c r="O804" s="287">
        <f t="shared" si="249"/>
        <v>0</v>
      </c>
      <c r="P804" s="287">
        <f t="shared" si="250"/>
        <v>0</v>
      </c>
      <c r="Q804" s="288"/>
      <c r="R804" s="243"/>
      <c r="S804" s="385" t="str">
        <f t="shared" si="246"/>
        <v/>
      </c>
    </row>
    <row r="805" spans="2:19" ht="13.5" hidden="1" thickBot="1">
      <c r="B805" s="609">
        <v>759</v>
      </c>
      <c r="C805" s="610" t="s">
        <v>489</v>
      </c>
      <c r="D805" s="611" t="s">
        <v>687</v>
      </c>
      <c r="E805" s="602"/>
      <c r="F805" s="603"/>
      <c r="G805" s="604"/>
      <c r="H805" s="605"/>
      <c r="I805" s="675">
        <v>536.12</v>
      </c>
      <c r="J805" s="675">
        <f t="shared" si="252"/>
        <v>536.12</v>
      </c>
      <c r="K805" s="606">
        <f t="shared" si="248"/>
        <v>650.58000000000004</v>
      </c>
      <c r="L805" s="389" t="s">
        <v>21</v>
      </c>
      <c r="M805" s="30"/>
      <c r="N805" s="30"/>
      <c r="O805" s="287">
        <f t="shared" si="249"/>
        <v>0</v>
      </c>
      <c r="P805" s="287">
        <f t="shared" si="250"/>
        <v>0</v>
      </c>
      <c r="Q805" s="288"/>
      <c r="R805" s="243"/>
      <c r="S805" s="385" t="str">
        <f t="shared" si="246"/>
        <v/>
      </c>
    </row>
    <row r="806" spans="2:19" ht="13.5" hidden="1" thickBot="1">
      <c r="B806" s="609" t="s">
        <v>553</v>
      </c>
      <c r="C806" s="610" t="s">
        <v>489</v>
      </c>
      <c r="D806" s="611" t="s">
        <v>651</v>
      </c>
      <c r="E806" s="602"/>
      <c r="F806" s="603"/>
      <c r="G806" s="604"/>
      <c r="H806" s="605"/>
      <c r="I806" s="675">
        <v>70.239999999999995</v>
      </c>
      <c r="J806" s="675">
        <f t="shared" si="252"/>
        <v>70.239999999999995</v>
      </c>
      <c r="K806" s="606">
        <f t="shared" si="248"/>
        <v>85.24</v>
      </c>
      <c r="L806" s="389" t="s">
        <v>21</v>
      </c>
      <c r="M806" s="30"/>
      <c r="N806" s="30"/>
      <c r="O806" s="287">
        <f t="shared" si="249"/>
        <v>0</v>
      </c>
      <c r="P806" s="287">
        <f t="shared" si="250"/>
        <v>0</v>
      </c>
      <c r="Q806" s="288"/>
      <c r="R806" s="243"/>
      <c r="S806" s="385" t="str">
        <f t="shared" si="246"/>
        <v/>
      </c>
    </row>
    <row r="807" spans="2:19" ht="13.5" hidden="1" thickBot="1">
      <c r="B807" s="609">
        <v>751</v>
      </c>
      <c r="C807" s="610" t="s">
        <v>489</v>
      </c>
      <c r="D807" s="611" t="s">
        <v>575</v>
      </c>
      <c r="E807" s="602"/>
      <c r="F807" s="603"/>
      <c r="G807" s="604"/>
      <c r="H807" s="605"/>
      <c r="I807" s="675">
        <v>11.31</v>
      </c>
      <c r="J807" s="675">
        <f t="shared" si="252"/>
        <v>11.31</v>
      </c>
      <c r="K807" s="606">
        <f t="shared" si="248"/>
        <v>13.72</v>
      </c>
      <c r="L807" s="389" t="s">
        <v>21</v>
      </c>
      <c r="M807" s="30"/>
      <c r="N807" s="30"/>
      <c r="O807" s="287">
        <f t="shared" si="249"/>
        <v>0</v>
      </c>
      <c r="P807" s="287">
        <f t="shared" si="250"/>
        <v>0</v>
      </c>
      <c r="Q807" s="288"/>
      <c r="R807" s="243"/>
      <c r="S807" s="385" t="str">
        <f t="shared" si="246"/>
        <v/>
      </c>
    </row>
    <row r="808" spans="2:19" ht="13.5" hidden="1" thickBot="1">
      <c r="B808" s="609" t="s">
        <v>554</v>
      </c>
      <c r="C808" s="610" t="s">
        <v>489</v>
      </c>
      <c r="D808" s="611" t="s">
        <v>560</v>
      </c>
      <c r="E808" s="602"/>
      <c r="F808" s="603"/>
      <c r="G808" s="604"/>
      <c r="H808" s="605"/>
      <c r="I808" s="675">
        <v>4.45</v>
      </c>
      <c r="J808" s="675">
        <f t="shared" si="252"/>
        <v>4.45</v>
      </c>
      <c r="K808" s="606">
        <f t="shared" si="248"/>
        <v>5.4</v>
      </c>
      <c r="L808" s="389" t="s">
        <v>21</v>
      </c>
      <c r="M808" s="30"/>
      <c r="N808" s="30"/>
      <c r="O808" s="287">
        <f t="shared" si="249"/>
        <v>0</v>
      </c>
      <c r="P808" s="287">
        <f t="shared" si="250"/>
        <v>0</v>
      </c>
      <c r="Q808" s="288"/>
      <c r="R808" s="243"/>
      <c r="S808" s="385" t="str">
        <f t="shared" si="246"/>
        <v/>
      </c>
    </row>
    <row r="809" spans="2:19" ht="13.5" hidden="1" thickBot="1">
      <c r="B809" s="609">
        <v>752</v>
      </c>
      <c r="C809" s="610" t="s">
        <v>489</v>
      </c>
      <c r="D809" s="611" t="s">
        <v>576</v>
      </c>
      <c r="E809" s="602"/>
      <c r="F809" s="603"/>
      <c r="G809" s="604"/>
      <c r="H809" s="605"/>
      <c r="I809" s="675">
        <v>28.78</v>
      </c>
      <c r="J809" s="675">
        <f t="shared" si="252"/>
        <v>28.78</v>
      </c>
      <c r="K809" s="606">
        <f t="shared" si="248"/>
        <v>34.92</v>
      </c>
      <c r="L809" s="389" t="s">
        <v>21</v>
      </c>
      <c r="M809" s="30"/>
      <c r="N809" s="30"/>
      <c r="O809" s="287">
        <f t="shared" si="249"/>
        <v>0</v>
      </c>
      <c r="P809" s="287">
        <f t="shared" si="250"/>
        <v>0</v>
      </c>
      <c r="Q809" s="288"/>
      <c r="R809" s="243"/>
      <c r="S809" s="385" t="str">
        <f t="shared" si="246"/>
        <v/>
      </c>
    </row>
    <row r="810" spans="2:19" ht="13.5" hidden="1" thickBot="1">
      <c r="B810" s="609" t="s">
        <v>555</v>
      </c>
      <c r="C810" s="610" t="s">
        <v>489</v>
      </c>
      <c r="D810" s="611" t="s">
        <v>561</v>
      </c>
      <c r="E810" s="602"/>
      <c r="F810" s="603"/>
      <c r="G810" s="604"/>
      <c r="H810" s="605"/>
      <c r="I810" s="675">
        <v>28.78</v>
      </c>
      <c r="J810" s="675">
        <f t="shared" si="252"/>
        <v>28.78</v>
      </c>
      <c r="K810" s="606">
        <f t="shared" si="248"/>
        <v>34.92</v>
      </c>
      <c r="L810" s="389" t="s">
        <v>21</v>
      </c>
      <c r="M810" s="30"/>
      <c r="N810" s="30"/>
      <c r="O810" s="287">
        <f t="shared" si="249"/>
        <v>0</v>
      </c>
      <c r="P810" s="287">
        <f t="shared" si="250"/>
        <v>0</v>
      </c>
      <c r="Q810" s="288"/>
      <c r="R810" s="243"/>
      <c r="S810" s="385" t="str">
        <f t="shared" si="246"/>
        <v/>
      </c>
    </row>
    <row r="811" spans="2:19" ht="13.5" hidden="1" thickBot="1">
      <c r="B811" s="609">
        <v>753</v>
      </c>
      <c r="C811" s="610" t="s">
        <v>489</v>
      </c>
      <c r="D811" s="611" t="s">
        <v>578</v>
      </c>
      <c r="E811" s="602"/>
      <c r="F811" s="603"/>
      <c r="G811" s="604"/>
      <c r="H811" s="605"/>
      <c r="I811" s="675">
        <v>62.7</v>
      </c>
      <c r="J811" s="675">
        <f t="shared" si="252"/>
        <v>62.7</v>
      </c>
      <c r="K811" s="606">
        <f t="shared" si="248"/>
        <v>76.09</v>
      </c>
      <c r="L811" s="389" t="s">
        <v>21</v>
      </c>
      <c r="M811" s="30"/>
      <c r="N811" s="30"/>
      <c r="O811" s="287">
        <f t="shared" si="249"/>
        <v>0</v>
      </c>
      <c r="P811" s="287">
        <f t="shared" si="250"/>
        <v>0</v>
      </c>
      <c r="Q811" s="288"/>
      <c r="R811" s="243"/>
      <c r="S811" s="385" t="str">
        <f t="shared" si="246"/>
        <v/>
      </c>
    </row>
    <row r="812" spans="2:19" ht="13.5" hidden="1" thickBot="1">
      <c r="B812" s="609" t="s">
        <v>556</v>
      </c>
      <c r="C812" s="610" t="s">
        <v>489</v>
      </c>
      <c r="D812" s="611" t="s">
        <v>562</v>
      </c>
      <c r="E812" s="602"/>
      <c r="F812" s="603"/>
      <c r="G812" s="604"/>
      <c r="H812" s="605"/>
      <c r="I812" s="675">
        <v>62.7</v>
      </c>
      <c r="J812" s="675">
        <f t="shared" si="252"/>
        <v>62.7</v>
      </c>
      <c r="K812" s="606">
        <f t="shared" si="248"/>
        <v>76.09</v>
      </c>
      <c r="L812" s="389" t="s">
        <v>21</v>
      </c>
      <c r="M812" s="30"/>
      <c r="N812" s="30"/>
      <c r="O812" s="287">
        <f t="shared" si="249"/>
        <v>0</v>
      </c>
      <c r="P812" s="287">
        <f t="shared" si="250"/>
        <v>0</v>
      </c>
      <c r="Q812" s="288"/>
      <c r="R812" s="243"/>
      <c r="S812" s="385" t="str">
        <f t="shared" si="246"/>
        <v/>
      </c>
    </row>
    <row r="813" spans="2:19" ht="13.5" hidden="1" thickBot="1">
      <c r="B813" s="609">
        <v>754</v>
      </c>
      <c r="C813" s="610" t="s">
        <v>489</v>
      </c>
      <c r="D813" s="611" t="s">
        <v>688</v>
      </c>
      <c r="E813" s="602"/>
      <c r="F813" s="603"/>
      <c r="G813" s="604"/>
      <c r="H813" s="605"/>
      <c r="I813" s="675">
        <v>71.95</v>
      </c>
      <c r="J813" s="675">
        <f t="shared" si="252"/>
        <v>71.95</v>
      </c>
      <c r="K813" s="606">
        <f t="shared" si="248"/>
        <v>87.31</v>
      </c>
      <c r="L813" s="389" t="s">
        <v>21</v>
      </c>
      <c r="M813" s="30"/>
      <c r="N813" s="30"/>
      <c r="O813" s="287">
        <f t="shared" si="249"/>
        <v>0</v>
      </c>
      <c r="P813" s="287">
        <f t="shared" si="250"/>
        <v>0</v>
      </c>
      <c r="Q813" s="288"/>
      <c r="R813" s="243"/>
      <c r="S813" s="385" t="str">
        <f t="shared" si="246"/>
        <v/>
      </c>
    </row>
    <row r="814" spans="2:19" ht="13.5" hidden="1" thickBot="1">
      <c r="B814" s="609">
        <v>755</v>
      </c>
      <c r="C814" s="610" t="s">
        <v>489</v>
      </c>
      <c r="D814" s="611" t="s">
        <v>689</v>
      </c>
      <c r="E814" s="602"/>
      <c r="F814" s="603"/>
      <c r="G814" s="604"/>
      <c r="H814" s="605"/>
      <c r="I814" s="675">
        <v>15.08</v>
      </c>
      <c r="J814" s="675">
        <f t="shared" si="252"/>
        <v>15.08</v>
      </c>
      <c r="K814" s="606">
        <f t="shared" si="248"/>
        <v>18.3</v>
      </c>
      <c r="L814" s="389" t="s">
        <v>21</v>
      </c>
      <c r="M814" s="30"/>
      <c r="N814" s="30"/>
      <c r="O814" s="287">
        <f t="shared" si="249"/>
        <v>0</v>
      </c>
      <c r="P814" s="287">
        <f t="shared" si="250"/>
        <v>0</v>
      </c>
      <c r="Q814" s="288"/>
      <c r="R814" s="243"/>
      <c r="S814" s="385" t="str">
        <f t="shared" si="246"/>
        <v/>
      </c>
    </row>
    <row r="815" spans="2:19" ht="13.5" hidden="1" thickBot="1">
      <c r="B815" s="609" t="s">
        <v>557</v>
      </c>
      <c r="C815" s="610" t="s">
        <v>489</v>
      </c>
      <c r="D815" s="611" t="s">
        <v>563</v>
      </c>
      <c r="E815" s="602"/>
      <c r="F815" s="603"/>
      <c r="G815" s="604"/>
      <c r="H815" s="605"/>
      <c r="I815" s="675">
        <v>6.17</v>
      </c>
      <c r="J815" s="675">
        <f t="shared" si="252"/>
        <v>6.17</v>
      </c>
      <c r="K815" s="606">
        <f t="shared" si="248"/>
        <v>7.49</v>
      </c>
      <c r="L815" s="389" t="s">
        <v>21</v>
      </c>
      <c r="M815" s="30"/>
      <c r="N815" s="30"/>
      <c r="O815" s="287">
        <f t="shared" si="249"/>
        <v>0</v>
      </c>
      <c r="P815" s="287">
        <f t="shared" si="250"/>
        <v>0</v>
      </c>
      <c r="Q815" s="288"/>
      <c r="R815" s="243"/>
      <c r="S815" s="385" t="str">
        <f t="shared" si="246"/>
        <v/>
      </c>
    </row>
    <row r="816" spans="2:19" ht="13.5" hidden="1" thickBot="1">
      <c r="B816" s="609">
        <v>756</v>
      </c>
      <c r="C816" s="610" t="s">
        <v>489</v>
      </c>
      <c r="D816" s="611" t="s">
        <v>690</v>
      </c>
      <c r="E816" s="602"/>
      <c r="F816" s="603"/>
      <c r="G816" s="604"/>
      <c r="H816" s="605"/>
      <c r="I816" s="675">
        <v>24.67</v>
      </c>
      <c r="J816" s="675">
        <f t="shared" si="252"/>
        <v>24.67</v>
      </c>
      <c r="K816" s="606">
        <f t="shared" si="248"/>
        <v>29.94</v>
      </c>
      <c r="L816" s="389" t="s">
        <v>21</v>
      </c>
      <c r="M816" s="30"/>
      <c r="N816" s="30"/>
      <c r="O816" s="287">
        <f t="shared" si="249"/>
        <v>0</v>
      </c>
      <c r="P816" s="287">
        <f t="shared" si="250"/>
        <v>0</v>
      </c>
      <c r="Q816" s="288"/>
      <c r="R816" s="243"/>
      <c r="S816" s="385" t="str">
        <f t="shared" si="246"/>
        <v/>
      </c>
    </row>
    <row r="817" spans="2:19" ht="13.5" hidden="1" thickBot="1">
      <c r="B817" s="609" t="s">
        <v>558</v>
      </c>
      <c r="C817" s="610" t="s">
        <v>489</v>
      </c>
      <c r="D817" s="611" t="s">
        <v>564</v>
      </c>
      <c r="E817" s="602"/>
      <c r="F817" s="603"/>
      <c r="G817" s="604"/>
      <c r="H817" s="605"/>
      <c r="I817" s="675">
        <v>9.94</v>
      </c>
      <c r="J817" s="675">
        <f t="shared" si="252"/>
        <v>9.94</v>
      </c>
      <c r="K817" s="606">
        <f t="shared" si="248"/>
        <v>12.06</v>
      </c>
      <c r="L817" s="389" t="s">
        <v>21</v>
      </c>
      <c r="M817" s="30"/>
      <c r="N817" s="30"/>
      <c r="O817" s="287">
        <f t="shared" si="249"/>
        <v>0</v>
      </c>
      <c r="P817" s="287">
        <f t="shared" si="250"/>
        <v>0</v>
      </c>
      <c r="Q817" s="288"/>
      <c r="R817" s="243"/>
      <c r="S817" s="385" t="str">
        <f t="shared" si="246"/>
        <v/>
      </c>
    </row>
    <row r="818" spans="2:19" ht="13.5" hidden="1" thickBot="1">
      <c r="B818" s="609">
        <v>757</v>
      </c>
      <c r="C818" s="610" t="s">
        <v>489</v>
      </c>
      <c r="D818" s="611" t="s">
        <v>691</v>
      </c>
      <c r="E818" s="602"/>
      <c r="F818" s="603"/>
      <c r="G818" s="604"/>
      <c r="H818" s="605"/>
      <c r="I818" s="675">
        <v>15.42</v>
      </c>
      <c r="J818" s="675">
        <f t="shared" si="252"/>
        <v>15.42</v>
      </c>
      <c r="K818" s="606">
        <f t="shared" si="248"/>
        <v>18.71</v>
      </c>
      <c r="L818" s="389" t="s">
        <v>21</v>
      </c>
      <c r="M818" s="30"/>
      <c r="N818" s="30"/>
      <c r="O818" s="287">
        <f t="shared" si="249"/>
        <v>0</v>
      </c>
      <c r="P818" s="287">
        <f t="shared" si="250"/>
        <v>0</v>
      </c>
      <c r="Q818" s="288"/>
      <c r="R818" s="243"/>
      <c r="S818" s="385" t="str">
        <f t="shared" si="246"/>
        <v/>
      </c>
    </row>
    <row r="819" spans="2:19" ht="13.5" hidden="1" thickBot="1">
      <c r="B819" s="609" t="s">
        <v>559</v>
      </c>
      <c r="C819" s="610" t="s">
        <v>489</v>
      </c>
      <c r="D819" s="611" t="s">
        <v>565</v>
      </c>
      <c r="E819" s="602"/>
      <c r="F819" s="603"/>
      <c r="G819" s="604"/>
      <c r="H819" s="605"/>
      <c r="I819" s="675">
        <v>6.17</v>
      </c>
      <c r="J819" s="675">
        <f t="shared" si="252"/>
        <v>6.17</v>
      </c>
      <c r="K819" s="606">
        <f t="shared" si="248"/>
        <v>7.49</v>
      </c>
      <c r="L819" s="389" t="s">
        <v>21</v>
      </c>
      <c r="M819" s="30"/>
      <c r="N819" s="30"/>
      <c r="O819" s="287">
        <f t="shared" si="249"/>
        <v>0</v>
      </c>
      <c r="P819" s="287">
        <f t="shared" si="250"/>
        <v>0</v>
      </c>
      <c r="Q819" s="288"/>
      <c r="R819" s="243"/>
      <c r="S819" s="385" t="str">
        <f t="shared" si="246"/>
        <v/>
      </c>
    </row>
    <row r="820" spans="2:19" ht="13.5" hidden="1" thickBot="1">
      <c r="B820" s="609">
        <v>947</v>
      </c>
      <c r="C820" s="610" t="s">
        <v>489</v>
      </c>
      <c r="D820" s="611" t="s">
        <v>692</v>
      </c>
      <c r="E820" s="602"/>
      <c r="F820" s="603"/>
      <c r="G820" s="604"/>
      <c r="H820" s="605"/>
      <c r="I820" s="675">
        <v>34.26</v>
      </c>
      <c r="J820" s="675">
        <f t="shared" si="252"/>
        <v>34.26</v>
      </c>
      <c r="K820" s="606">
        <f t="shared" si="248"/>
        <v>41.57</v>
      </c>
      <c r="L820" s="389" t="s">
        <v>21</v>
      </c>
      <c r="M820" s="30"/>
      <c r="N820" s="30"/>
      <c r="O820" s="287">
        <f t="shared" si="249"/>
        <v>0</v>
      </c>
      <c r="P820" s="287">
        <f t="shared" si="250"/>
        <v>0</v>
      </c>
      <c r="Q820" s="288"/>
      <c r="R820" s="243"/>
      <c r="S820" s="385" t="str">
        <f t="shared" si="246"/>
        <v/>
      </c>
    </row>
    <row r="821" spans="2:19" ht="13.5" hidden="1" thickBot="1">
      <c r="B821" s="609" t="s">
        <v>590</v>
      </c>
      <c r="C821" s="610" t="s">
        <v>489</v>
      </c>
      <c r="D821" s="611" t="s">
        <v>591</v>
      </c>
      <c r="E821" s="602"/>
      <c r="F821" s="603"/>
      <c r="G821" s="604"/>
      <c r="H821" s="605"/>
      <c r="I821" s="675">
        <v>34.26</v>
      </c>
      <c r="J821" s="675">
        <f t="shared" si="252"/>
        <v>34.26</v>
      </c>
      <c r="K821" s="606">
        <f t="shared" si="248"/>
        <v>41.57</v>
      </c>
      <c r="L821" s="389" t="s">
        <v>21</v>
      </c>
      <c r="M821" s="30"/>
      <c r="N821" s="30"/>
      <c r="O821" s="287">
        <f t="shared" si="249"/>
        <v>0</v>
      </c>
      <c r="P821" s="287">
        <f t="shared" si="250"/>
        <v>0</v>
      </c>
      <c r="Q821" s="288"/>
      <c r="R821" s="243"/>
      <c r="S821" s="385" t="str">
        <f t="shared" si="246"/>
        <v/>
      </c>
    </row>
    <row r="822" spans="2:19" ht="13.5" hidden="1" thickBot="1">
      <c r="B822" s="609">
        <v>760</v>
      </c>
      <c r="C822" s="610" t="s">
        <v>489</v>
      </c>
      <c r="D822" s="611" t="s">
        <v>593</v>
      </c>
      <c r="E822" s="602"/>
      <c r="F822" s="603"/>
      <c r="G822" s="604"/>
      <c r="H822" s="605"/>
      <c r="I822" s="675">
        <v>17.47</v>
      </c>
      <c r="J822" s="675">
        <f t="shared" si="252"/>
        <v>17.47</v>
      </c>
      <c r="K822" s="606">
        <f t="shared" si="248"/>
        <v>21.2</v>
      </c>
      <c r="L822" s="389" t="s">
        <v>21</v>
      </c>
      <c r="M822" s="30"/>
      <c r="N822" s="30"/>
      <c r="O822" s="287">
        <f t="shared" si="249"/>
        <v>0</v>
      </c>
      <c r="P822" s="287">
        <f t="shared" si="250"/>
        <v>0</v>
      </c>
      <c r="Q822" s="288"/>
      <c r="R822" s="243"/>
      <c r="S822" s="385" t="str">
        <f t="shared" si="246"/>
        <v/>
      </c>
    </row>
    <row r="823" spans="2:19" ht="13.5" hidden="1" thickBot="1">
      <c r="B823" s="609" t="s">
        <v>592</v>
      </c>
      <c r="C823" s="610" t="s">
        <v>489</v>
      </c>
      <c r="D823" s="611" t="s">
        <v>594</v>
      </c>
      <c r="E823" s="602"/>
      <c r="F823" s="603"/>
      <c r="G823" s="604"/>
      <c r="H823" s="605"/>
      <c r="I823" s="675">
        <v>6.85</v>
      </c>
      <c r="J823" s="675">
        <f t="shared" si="252"/>
        <v>6.85</v>
      </c>
      <c r="K823" s="606">
        <f t="shared" si="248"/>
        <v>8.31</v>
      </c>
      <c r="L823" s="389" t="s">
        <v>21</v>
      </c>
      <c r="M823" s="30"/>
      <c r="N823" s="30"/>
      <c r="O823" s="287">
        <f t="shared" si="249"/>
        <v>0</v>
      </c>
      <c r="P823" s="287">
        <f t="shared" si="250"/>
        <v>0</v>
      </c>
      <c r="Q823" s="288"/>
      <c r="R823" s="243"/>
      <c r="S823" s="385" t="str">
        <f t="shared" si="246"/>
        <v/>
      </c>
    </row>
    <row r="824" spans="2:19" ht="13.5" hidden="1" thickBot="1">
      <c r="B824" s="609">
        <v>761</v>
      </c>
      <c r="C824" s="610" t="s">
        <v>489</v>
      </c>
      <c r="D824" s="611" t="s">
        <v>596</v>
      </c>
      <c r="E824" s="602"/>
      <c r="F824" s="603"/>
      <c r="G824" s="604"/>
      <c r="H824" s="605"/>
      <c r="I824" s="675">
        <v>13.36</v>
      </c>
      <c r="J824" s="675">
        <f t="shared" si="252"/>
        <v>13.36</v>
      </c>
      <c r="K824" s="606">
        <f t="shared" si="248"/>
        <v>16.21</v>
      </c>
      <c r="L824" s="389" t="s">
        <v>21</v>
      </c>
      <c r="M824" s="30"/>
      <c r="N824" s="30"/>
      <c r="O824" s="287">
        <f t="shared" si="249"/>
        <v>0</v>
      </c>
      <c r="P824" s="287">
        <f t="shared" si="250"/>
        <v>0</v>
      </c>
      <c r="Q824" s="288"/>
      <c r="R824" s="243"/>
      <c r="S824" s="385" t="str">
        <f t="shared" si="246"/>
        <v/>
      </c>
    </row>
    <row r="825" spans="2:19" ht="13.5" hidden="1" thickBot="1">
      <c r="B825" s="609" t="s">
        <v>595</v>
      </c>
      <c r="C825" s="610" t="s">
        <v>489</v>
      </c>
      <c r="D825" s="611" t="s">
        <v>652</v>
      </c>
      <c r="E825" s="602"/>
      <c r="F825" s="603"/>
      <c r="G825" s="604"/>
      <c r="H825" s="605"/>
      <c r="I825" s="675">
        <v>5.48</v>
      </c>
      <c r="J825" s="675">
        <f t="shared" si="252"/>
        <v>5.48</v>
      </c>
      <c r="K825" s="606">
        <f t="shared" si="248"/>
        <v>6.65</v>
      </c>
      <c r="L825" s="389" t="s">
        <v>21</v>
      </c>
      <c r="M825" s="30"/>
      <c r="N825" s="30"/>
      <c r="O825" s="287">
        <f t="shared" si="249"/>
        <v>0</v>
      </c>
      <c r="P825" s="287">
        <f t="shared" si="250"/>
        <v>0</v>
      </c>
      <c r="Q825" s="288"/>
      <c r="R825" s="243"/>
      <c r="S825" s="385" t="str">
        <f t="shared" si="246"/>
        <v/>
      </c>
    </row>
    <row r="826" spans="2:19" ht="13.5" hidden="1" thickBot="1">
      <c r="B826" s="609">
        <v>762</v>
      </c>
      <c r="C826" s="610" t="s">
        <v>489</v>
      </c>
      <c r="D826" s="611" t="s">
        <v>598</v>
      </c>
      <c r="E826" s="602"/>
      <c r="F826" s="603"/>
      <c r="G826" s="604"/>
      <c r="H826" s="605"/>
      <c r="I826" s="675">
        <v>21.58</v>
      </c>
      <c r="J826" s="675">
        <f t="shared" si="252"/>
        <v>21.58</v>
      </c>
      <c r="K826" s="606">
        <f t="shared" si="248"/>
        <v>26.19</v>
      </c>
      <c r="L826" s="389" t="s">
        <v>21</v>
      </c>
      <c r="M826" s="30"/>
      <c r="N826" s="30"/>
      <c r="O826" s="287">
        <f t="shared" si="249"/>
        <v>0</v>
      </c>
      <c r="P826" s="287">
        <f t="shared" si="250"/>
        <v>0</v>
      </c>
      <c r="Q826" s="288"/>
      <c r="R826" s="243"/>
      <c r="S826" s="385" t="str">
        <f t="shared" si="246"/>
        <v/>
      </c>
    </row>
    <row r="827" spans="2:19" ht="13.5" hidden="1" thickBot="1">
      <c r="B827" s="609" t="s">
        <v>597</v>
      </c>
      <c r="C827" s="610" t="s">
        <v>489</v>
      </c>
      <c r="D827" s="611" t="s">
        <v>599</v>
      </c>
      <c r="E827" s="602"/>
      <c r="F827" s="603"/>
      <c r="G827" s="604"/>
      <c r="H827" s="605"/>
      <c r="I827" s="675">
        <v>8.57</v>
      </c>
      <c r="J827" s="675">
        <f t="shared" si="252"/>
        <v>8.57</v>
      </c>
      <c r="K827" s="606">
        <f t="shared" si="248"/>
        <v>10.4</v>
      </c>
      <c r="L827" s="389" t="s">
        <v>21</v>
      </c>
      <c r="M827" s="30"/>
      <c r="N827" s="30"/>
      <c r="O827" s="287">
        <f t="shared" si="249"/>
        <v>0</v>
      </c>
      <c r="P827" s="287">
        <f t="shared" si="250"/>
        <v>0</v>
      </c>
      <c r="Q827" s="288"/>
      <c r="R827" s="243"/>
      <c r="S827" s="385" t="str">
        <f t="shared" si="246"/>
        <v/>
      </c>
    </row>
    <row r="828" spans="2:19" ht="26.25" hidden="1" thickBot="1">
      <c r="B828" s="609">
        <v>763</v>
      </c>
      <c r="C828" s="610" t="s">
        <v>489</v>
      </c>
      <c r="D828" s="611" t="s">
        <v>600</v>
      </c>
      <c r="E828" s="602"/>
      <c r="F828" s="603"/>
      <c r="G828" s="604"/>
      <c r="H828" s="605"/>
      <c r="I828" s="675">
        <v>23.3</v>
      </c>
      <c r="J828" s="675">
        <f t="shared" si="252"/>
        <v>23.3</v>
      </c>
      <c r="K828" s="606">
        <f t="shared" si="248"/>
        <v>28.27</v>
      </c>
      <c r="L828" s="389" t="s">
        <v>21</v>
      </c>
      <c r="M828" s="30"/>
      <c r="N828" s="30"/>
      <c r="O828" s="287">
        <f t="shared" si="249"/>
        <v>0</v>
      </c>
      <c r="P828" s="287">
        <f t="shared" si="250"/>
        <v>0</v>
      </c>
      <c r="Q828" s="288"/>
      <c r="R828" s="243"/>
      <c r="S828" s="385" t="str">
        <f t="shared" ref="S828:S891" si="253">IF(R828="x","x",IF(R828="y","x",IF(R828="xy","x",IF(P828&gt;0,"x",""))))</f>
        <v/>
      </c>
    </row>
    <row r="829" spans="2:19" ht="13.5" hidden="1" thickBot="1">
      <c r="B829" s="609">
        <v>767</v>
      </c>
      <c r="C829" s="610" t="s">
        <v>489</v>
      </c>
      <c r="D829" s="611" t="s">
        <v>693</v>
      </c>
      <c r="E829" s="602"/>
      <c r="F829" s="603">
        <v>0</v>
      </c>
      <c r="G829" s="604"/>
      <c r="H829" s="605">
        <v>0</v>
      </c>
      <c r="I829" s="675">
        <v>19.53</v>
      </c>
      <c r="J829" s="675">
        <f t="shared" si="252"/>
        <v>19.53</v>
      </c>
      <c r="K829" s="606">
        <f t="shared" si="248"/>
        <v>23.7</v>
      </c>
      <c r="L829" s="389" t="s">
        <v>21</v>
      </c>
      <c r="M829" s="30"/>
      <c r="N829" s="30"/>
      <c r="O829" s="287">
        <f t="shared" si="249"/>
        <v>0</v>
      </c>
      <c r="P829" s="287">
        <f t="shared" si="250"/>
        <v>0</v>
      </c>
      <c r="Q829" s="288"/>
      <c r="R829" s="243"/>
      <c r="S829" s="385" t="str">
        <f t="shared" si="253"/>
        <v/>
      </c>
    </row>
    <row r="830" spans="2:19" ht="13.5" hidden="1" thickBot="1">
      <c r="B830" s="609">
        <v>768</v>
      </c>
      <c r="C830" s="610" t="s">
        <v>489</v>
      </c>
      <c r="D830" s="611" t="s">
        <v>694</v>
      </c>
      <c r="E830" s="602"/>
      <c r="F830" s="603">
        <v>0</v>
      </c>
      <c r="G830" s="604"/>
      <c r="H830" s="605">
        <v>0</v>
      </c>
      <c r="I830" s="675">
        <v>44.54</v>
      </c>
      <c r="J830" s="675">
        <f t="shared" si="252"/>
        <v>44.54</v>
      </c>
      <c r="K830" s="606">
        <f t="shared" si="248"/>
        <v>54.05</v>
      </c>
      <c r="L830" s="389" t="s">
        <v>21</v>
      </c>
      <c r="M830" s="30"/>
      <c r="N830" s="30"/>
      <c r="O830" s="287">
        <f t="shared" si="249"/>
        <v>0</v>
      </c>
      <c r="P830" s="287">
        <f t="shared" si="250"/>
        <v>0</v>
      </c>
      <c r="Q830" s="288"/>
      <c r="R830" s="243"/>
      <c r="S830" s="385" t="str">
        <f t="shared" si="253"/>
        <v/>
      </c>
    </row>
    <row r="831" spans="2:19" ht="13.5" hidden="1" thickBot="1">
      <c r="B831" s="609">
        <v>769</v>
      </c>
      <c r="C831" s="610" t="s">
        <v>489</v>
      </c>
      <c r="D831" s="611" t="s">
        <v>695</v>
      </c>
      <c r="E831" s="602"/>
      <c r="F831" s="603">
        <v>0</v>
      </c>
      <c r="G831" s="604"/>
      <c r="H831" s="605">
        <v>0</v>
      </c>
      <c r="I831" s="675">
        <v>163.77000000000001</v>
      </c>
      <c r="J831" s="675">
        <f t="shared" si="252"/>
        <v>163.77000000000001</v>
      </c>
      <c r="K831" s="606">
        <f t="shared" si="248"/>
        <v>198.73</v>
      </c>
      <c r="L831" s="389" t="s">
        <v>21</v>
      </c>
      <c r="M831" s="30"/>
      <c r="N831" s="30"/>
      <c r="O831" s="287">
        <f t="shared" si="249"/>
        <v>0</v>
      </c>
      <c r="P831" s="287">
        <f t="shared" si="250"/>
        <v>0</v>
      </c>
      <c r="Q831" s="288"/>
      <c r="R831" s="243"/>
      <c r="S831" s="385" t="str">
        <f t="shared" si="253"/>
        <v/>
      </c>
    </row>
    <row r="832" spans="2:19" ht="13.5" hidden="1" thickBot="1">
      <c r="B832" s="609">
        <v>770</v>
      </c>
      <c r="C832" s="610" t="s">
        <v>489</v>
      </c>
      <c r="D832" s="611" t="s">
        <v>569</v>
      </c>
      <c r="E832" s="602"/>
      <c r="F832" s="603"/>
      <c r="G832" s="604"/>
      <c r="H832" s="605"/>
      <c r="I832" s="675">
        <v>56.53</v>
      </c>
      <c r="J832" s="675">
        <f t="shared" si="252"/>
        <v>56.53</v>
      </c>
      <c r="K832" s="606">
        <f t="shared" si="248"/>
        <v>68.599999999999994</v>
      </c>
      <c r="L832" s="389" t="s">
        <v>21</v>
      </c>
      <c r="M832" s="30"/>
      <c r="N832" s="30"/>
      <c r="O832" s="287">
        <f t="shared" si="249"/>
        <v>0</v>
      </c>
      <c r="P832" s="287">
        <f t="shared" si="250"/>
        <v>0</v>
      </c>
      <c r="Q832" s="288"/>
      <c r="R832" s="243"/>
      <c r="S832" s="385" t="str">
        <f t="shared" si="253"/>
        <v/>
      </c>
    </row>
    <row r="833" spans="2:19" ht="13.5" hidden="1" thickBot="1">
      <c r="B833" s="609" t="s">
        <v>566</v>
      </c>
      <c r="C833" s="610" t="s">
        <v>489</v>
      </c>
      <c r="D833" s="611" t="s">
        <v>570</v>
      </c>
      <c r="E833" s="602"/>
      <c r="F833" s="603"/>
      <c r="G833" s="604"/>
      <c r="H833" s="605"/>
      <c r="I833" s="675">
        <v>22.61</v>
      </c>
      <c r="J833" s="675">
        <f t="shared" si="252"/>
        <v>22.61</v>
      </c>
      <c r="K833" s="606">
        <f t="shared" si="248"/>
        <v>27.44</v>
      </c>
      <c r="L833" s="389" t="s">
        <v>21</v>
      </c>
      <c r="M833" s="30"/>
      <c r="N833" s="30"/>
      <c r="O833" s="287">
        <f t="shared" si="249"/>
        <v>0</v>
      </c>
      <c r="P833" s="287">
        <f t="shared" si="250"/>
        <v>0</v>
      </c>
      <c r="Q833" s="288"/>
      <c r="R833" s="243"/>
      <c r="S833" s="385" t="str">
        <f t="shared" si="253"/>
        <v/>
      </c>
    </row>
    <row r="834" spans="2:19" ht="13.5" hidden="1" thickBot="1">
      <c r="B834" s="609">
        <v>771</v>
      </c>
      <c r="C834" s="610" t="s">
        <v>489</v>
      </c>
      <c r="D834" s="611" t="s">
        <v>571</v>
      </c>
      <c r="E834" s="602"/>
      <c r="F834" s="603"/>
      <c r="G834" s="604"/>
      <c r="H834" s="605"/>
      <c r="I834" s="675">
        <v>81.2</v>
      </c>
      <c r="J834" s="675">
        <f t="shared" ref="J834:J837" si="254">IF(ISBLANK(I834),"",SUM(H834:I834))</f>
        <v>81.2</v>
      </c>
      <c r="K834" s="606">
        <f t="shared" si="248"/>
        <v>98.54</v>
      </c>
      <c r="L834" s="389" t="s">
        <v>21</v>
      </c>
      <c r="M834" s="30"/>
      <c r="N834" s="30"/>
      <c r="O834" s="287">
        <f t="shared" si="249"/>
        <v>0</v>
      </c>
      <c r="P834" s="287">
        <f t="shared" si="250"/>
        <v>0</v>
      </c>
      <c r="Q834" s="288"/>
      <c r="R834" s="243"/>
      <c r="S834" s="385" t="str">
        <f t="shared" si="253"/>
        <v/>
      </c>
    </row>
    <row r="835" spans="2:19" ht="13.5" hidden="1" thickBot="1">
      <c r="B835" s="609" t="s">
        <v>567</v>
      </c>
      <c r="C835" s="610" t="s">
        <v>489</v>
      </c>
      <c r="D835" s="611" t="s">
        <v>572</v>
      </c>
      <c r="E835" s="602"/>
      <c r="F835" s="603"/>
      <c r="G835" s="604"/>
      <c r="H835" s="605"/>
      <c r="I835" s="675">
        <v>32.549999999999997</v>
      </c>
      <c r="J835" s="675">
        <f t="shared" si="254"/>
        <v>32.549999999999997</v>
      </c>
      <c r="K835" s="606">
        <f t="shared" si="248"/>
        <v>39.5</v>
      </c>
      <c r="L835" s="389" t="s">
        <v>21</v>
      </c>
      <c r="M835" s="30"/>
      <c r="N835" s="30"/>
      <c r="O835" s="287">
        <f t="shared" si="249"/>
        <v>0</v>
      </c>
      <c r="P835" s="287">
        <f t="shared" si="250"/>
        <v>0</v>
      </c>
      <c r="Q835" s="288"/>
      <c r="R835" s="243"/>
      <c r="S835" s="385" t="str">
        <f t="shared" si="253"/>
        <v/>
      </c>
    </row>
    <row r="836" spans="2:19" ht="13.5" hidden="1" thickBot="1">
      <c r="B836" s="609">
        <v>772</v>
      </c>
      <c r="C836" s="610" t="s">
        <v>489</v>
      </c>
      <c r="D836" s="611" t="s">
        <v>573</v>
      </c>
      <c r="E836" s="602"/>
      <c r="F836" s="603"/>
      <c r="G836" s="604"/>
      <c r="H836" s="605"/>
      <c r="I836" s="675">
        <v>26.72</v>
      </c>
      <c r="J836" s="675">
        <f t="shared" si="254"/>
        <v>26.72</v>
      </c>
      <c r="K836" s="606">
        <f t="shared" si="248"/>
        <v>32.42</v>
      </c>
      <c r="L836" s="389" t="s">
        <v>21</v>
      </c>
      <c r="M836" s="30"/>
      <c r="N836" s="30"/>
      <c r="O836" s="287">
        <f t="shared" si="249"/>
        <v>0</v>
      </c>
      <c r="P836" s="287">
        <f t="shared" si="250"/>
        <v>0</v>
      </c>
      <c r="Q836" s="288"/>
      <c r="R836" s="243"/>
      <c r="S836" s="385" t="str">
        <f t="shared" si="253"/>
        <v/>
      </c>
    </row>
    <row r="837" spans="2:19" ht="13.5" hidden="1" thickBot="1">
      <c r="B837" s="609" t="s">
        <v>568</v>
      </c>
      <c r="C837" s="610" t="s">
        <v>489</v>
      </c>
      <c r="D837" s="611" t="s">
        <v>574</v>
      </c>
      <c r="E837" s="602"/>
      <c r="F837" s="603"/>
      <c r="G837" s="604"/>
      <c r="H837" s="605"/>
      <c r="I837" s="675">
        <v>10.62</v>
      </c>
      <c r="J837" s="675">
        <f t="shared" si="254"/>
        <v>10.62</v>
      </c>
      <c r="K837" s="606">
        <f t="shared" si="248"/>
        <v>12.89</v>
      </c>
      <c r="L837" s="389" t="s">
        <v>21</v>
      </c>
      <c r="M837" s="30"/>
      <c r="N837" s="30"/>
      <c r="O837" s="287">
        <f t="shared" si="249"/>
        <v>0</v>
      </c>
      <c r="P837" s="287">
        <f t="shared" si="250"/>
        <v>0</v>
      </c>
      <c r="Q837" s="288"/>
      <c r="R837" s="243"/>
      <c r="S837" s="385" t="str">
        <f t="shared" si="253"/>
        <v/>
      </c>
    </row>
    <row r="838" spans="2:19" ht="13.5" hidden="1" thickBot="1">
      <c r="B838" s="609">
        <v>773</v>
      </c>
      <c r="C838" s="610" t="s">
        <v>489</v>
      </c>
      <c r="D838" s="611" t="s">
        <v>577</v>
      </c>
      <c r="E838" s="602"/>
      <c r="F838" s="603"/>
      <c r="G838" s="604"/>
      <c r="H838" s="605"/>
      <c r="I838" s="675">
        <v>88.39</v>
      </c>
      <c r="J838" s="675">
        <f t="shared" ref="J838:J865" si="255">IF(ISBLANK(I838),"",SUM(H838:I838))</f>
        <v>88.39</v>
      </c>
      <c r="K838" s="606">
        <f t="shared" si="248"/>
        <v>107.26</v>
      </c>
      <c r="L838" s="389" t="s">
        <v>21</v>
      </c>
      <c r="M838" s="30"/>
      <c r="N838" s="30"/>
      <c r="O838" s="287">
        <f t="shared" si="249"/>
        <v>0</v>
      </c>
      <c r="P838" s="287">
        <f t="shared" si="250"/>
        <v>0</v>
      </c>
      <c r="Q838" s="288"/>
      <c r="R838" s="243"/>
      <c r="S838" s="385" t="str">
        <f t="shared" si="253"/>
        <v/>
      </c>
    </row>
    <row r="839" spans="2:19" ht="13.5" hidden="1" thickBot="1">
      <c r="B839" s="609">
        <v>774</v>
      </c>
      <c r="C839" s="610" t="s">
        <v>489</v>
      </c>
      <c r="D839" s="611" t="s">
        <v>580</v>
      </c>
      <c r="E839" s="602"/>
      <c r="F839" s="603"/>
      <c r="G839" s="604"/>
      <c r="H839" s="605"/>
      <c r="I839" s="675">
        <v>119.92</v>
      </c>
      <c r="J839" s="675">
        <f t="shared" si="255"/>
        <v>119.92</v>
      </c>
      <c r="K839" s="606">
        <f t="shared" si="248"/>
        <v>145.52000000000001</v>
      </c>
      <c r="L839" s="389" t="s">
        <v>21</v>
      </c>
      <c r="M839" s="30"/>
      <c r="N839" s="30"/>
      <c r="O839" s="287">
        <f t="shared" si="249"/>
        <v>0</v>
      </c>
      <c r="P839" s="287">
        <f t="shared" si="250"/>
        <v>0</v>
      </c>
      <c r="Q839" s="288"/>
      <c r="R839" s="243"/>
      <c r="S839" s="385" t="str">
        <f t="shared" si="253"/>
        <v/>
      </c>
    </row>
    <row r="840" spans="2:19" ht="13.5" hidden="1" thickBot="1">
      <c r="B840" s="609" t="s">
        <v>579</v>
      </c>
      <c r="C840" s="610" t="s">
        <v>489</v>
      </c>
      <c r="D840" s="611" t="s">
        <v>581</v>
      </c>
      <c r="E840" s="602"/>
      <c r="F840" s="603"/>
      <c r="G840" s="604"/>
      <c r="H840" s="605"/>
      <c r="I840" s="675">
        <v>17.13</v>
      </c>
      <c r="J840" s="675">
        <f t="shared" si="255"/>
        <v>17.13</v>
      </c>
      <c r="K840" s="606">
        <f t="shared" si="248"/>
        <v>20.79</v>
      </c>
      <c r="L840" s="389" t="s">
        <v>21</v>
      </c>
      <c r="M840" s="30"/>
      <c r="N840" s="30"/>
      <c r="O840" s="287">
        <f t="shared" si="249"/>
        <v>0</v>
      </c>
      <c r="P840" s="287">
        <f t="shared" si="250"/>
        <v>0</v>
      </c>
      <c r="Q840" s="288"/>
      <c r="R840" s="243"/>
      <c r="S840" s="385" t="str">
        <f t="shared" si="253"/>
        <v/>
      </c>
    </row>
    <row r="841" spans="2:19" ht="26.25" hidden="1" thickBot="1">
      <c r="B841" s="609">
        <v>775</v>
      </c>
      <c r="C841" s="610" t="s">
        <v>489</v>
      </c>
      <c r="D841" s="611" t="s">
        <v>696</v>
      </c>
      <c r="E841" s="602"/>
      <c r="F841" s="603"/>
      <c r="G841" s="604"/>
      <c r="H841" s="605"/>
      <c r="I841" s="675">
        <v>14.05</v>
      </c>
      <c r="J841" s="675">
        <f t="shared" si="255"/>
        <v>14.05</v>
      </c>
      <c r="K841" s="606">
        <f t="shared" si="248"/>
        <v>17.05</v>
      </c>
      <c r="L841" s="389" t="s">
        <v>21</v>
      </c>
      <c r="M841" s="30"/>
      <c r="N841" s="30"/>
      <c r="O841" s="287">
        <f t="shared" si="249"/>
        <v>0</v>
      </c>
      <c r="P841" s="287">
        <f t="shared" si="250"/>
        <v>0</v>
      </c>
      <c r="Q841" s="288"/>
      <c r="R841" s="243"/>
      <c r="S841" s="385" t="str">
        <f t="shared" si="253"/>
        <v/>
      </c>
    </row>
    <row r="842" spans="2:19" ht="13.5" hidden="1" thickBot="1">
      <c r="B842" s="609">
        <v>776</v>
      </c>
      <c r="C842" s="610" t="s">
        <v>489</v>
      </c>
      <c r="D842" s="611" t="s">
        <v>585</v>
      </c>
      <c r="E842" s="602"/>
      <c r="F842" s="603"/>
      <c r="G842" s="604"/>
      <c r="H842" s="605"/>
      <c r="I842" s="675">
        <v>17.47</v>
      </c>
      <c r="J842" s="675">
        <f t="shared" si="255"/>
        <v>17.47</v>
      </c>
      <c r="K842" s="606">
        <f t="shared" si="248"/>
        <v>21.2</v>
      </c>
      <c r="L842" s="389" t="s">
        <v>21</v>
      </c>
      <c r="M842" s="30"/>
      <c r="N842" s="30"/>
      <c r="O842" s="287">
        <f t="shared" si="249"/>
        <v>0</v>
      </c>
      <c r="P842" s="287">
        <f t="shared" si="250"/>
        <v>0</v>
      </c>
      <c r="Q842" s="288"/>
      <c r="R842" s="243"/>
      <c r="S842" s="385" t="str">
        <f t="shared" si="253"/>
        <v/>
      </c>
    </row>
    <row r="843" spans="2:19" ht="13.5" hidden="1" thickBot="1">
      <c r="B843" s="609" t="s">
        <v>582</v>
      </c>
      <c r="C843" s="610" t="s">
        <v>489</v>
      </c>
      <c r="D843" s="611" t="s">
        <v>586</v>
      </c>
      <c r="E843" s="602"/>
      <c r="F843" s="603"/>
      <c r="G843" s="604"/>
      <c r="H843" s="605"/>
      <c r="I843" s="675">
        <v>6.85</v>
      </c>
      <c r="J843" s="675">
        <f t="shared" si="255"/>
        <v>6.85</v>
      </c>
      <c r="K843" s="606">
        <f t="shared" si="248"/>
        <v>8.31</v>
      </c>
      <c r="L843" s="389" t="s">
        <v>21</v>
      </c>
      <c r="M843" s="30"/>
      <c r="N843" s="30"/>
      <c r="O843" s="287">
        <f t="shared" si="249"/>
        <v>0</v>
      </c>
      <c r="P843" s="287">
        <f t="shared" si="250"/>
        <v>0</v>
      </c>
      <c r="Q843" s="288"/>
      <c r="R843" s="243"/>
      <c r="S843" s="385" t="str">
        <f t="shared" si="253"/>
        <v/>
      </c>
    </row>
    <row r="844" spans="2:19" ht="13.5" hidden="1" thickBot="1">
      <c r="B844" s="609">
        <v>862</v>
      </c>
      <c r="C844" s="610" t="s">
        <v>489</v>
      </c>
      <c r="D844" s="688" t="s">
        <v>697</v>
      </c>
      <c r="E844" s="602"/>
      <c r="F844" s="603"/>
      <c r="G844" s="604"/>
      <c r="H844" s="605"/>
      <c r="I844" s="675">
        <v>425.19</v>
      </c>
      <c r="J844" s="675">
        <f t="shared" si="255"/>
        <v>425.19</v>
      </c>
      <c r="K844" s="606">
        <f t="shared" si="248"/>
        <v>515.97</v>
      </c>
      <c r="L844" s="389" t="s">
        <v>16</v>
      </c>
      <c r="M844" s="30"/>
      <c r="N844" s="30"/>
      <c r="O844" s="287">
        <f t="shared" si="249"/>
        <v>0</v>
      </c>
      <c r="P844" s="287">
        <f t="shared" si="250"/>
        <v>0</v>
      </c>
      <c r="Q844" s="288"/>
      <c r="R844" s="243"/>
      <c r="S844" s="385" t="str">
        <f t="shared" si="253"/>
        <v/>
      </c>
    </row>
    <row r="845" spans="2:19" ht="13.5" hidden="1" thickBot="1">
      <c r="B845" s="609" t="s">
        <v>583</v>
      </c>
      <c r="C845" s="610" t="s">
        <v>489</v>
      </c>
      <c r="D845" s="611" t="s">
        <v>587</v>
      </c>
      <c r="E845" s="602"/>
      <c r="F845" s="603"/>
      <c r="G845" s="604"/>
      <c r="H845" s="605"/>
      <c r="I845" s="675">
        <v>297.73</v>
      </c>
      <c r="J845" s="675">
        <f t="shared" si="255"/>
        <v>297.73</v>
      </c>
      <c r="K845" s="606">
        <f t="shared" si="248"/>
        <v>361.3</v>
      </c>
      <c r="L845" s="389" t="s">
        <v>16</v>
      </c>
      <c r="M845" s="30"/>
      <c r="N845" s="30"/>
      <c r="O845" s="287">
        <f t="shared" si="249"/>
        <v>0</v>
      </c>
      <c r="P845" s="287">
        <f t="shared" si="250"/>
        <v>0</v>
      </c>
      <c r="Q845" s="288"/>
      <c r="R845" s="243"/>
      <c r="S845" s="385" t="str">
        <f t="shared" si="253"/>
        <v/>
      </c>
    </row>
    <row r="846" spans="2:19" ht="13.5" hidden="1" thickBot="1">
      <c r="B846" s="609">
        <v>875</v>
      </c>
      <c r="C846" s="610" t="s">
        <v>489</v>
      </c>
      <c r="D846" s="688" t="s">
        <v>588</v>
      </c>
      <c r="E846" s="602"/>
      <c r="F846" s="603"/>
      <c r="G846" s="604"/>
      <c r="H846" s="605"/>
      <c r="I846" s="675">
        <v>7.19</v>
      </c>
      <c r="J846" s="675">
        <f t="shared" si="255"/>
        <v>7.19</v>
      </c>
      <c r="K846" s="606">
        <f t="shared" si="248"/>
        <v>8.73</v>
      </c>
      <c r="L846" s="389" t="s">
        <v>21</v>
      </c>
      <c r="M846" s="30"/>
      <c r="N846" s="30"/>
      <c r="O846" s="287">
        <f t="shared" si="249"/>
        <v>0</v>
      </c>
      <c r="P846" s="287">
        <f t="shared" si="250"/>
        <v>0</v>
      </c>
      <c r="Q846" s="288"/>
      <c r="R846" s="243"/>
      <c r="S846" s="385" t="str">
        <f t="shared" si="253"/>
        <v/>
      </c>
    </row>
    <row r="847" spans="2:19" ht="13.5" hidden="1" thickBot="1">
      <c r="B847" s="609" t="s">
        <v>584</v>
      </c>
      <c r="C847" s="610" t="s">
        <v>489</v>
      </c>
      <c r="D847" s="688" t="s">
        <v>589</v>
      </c>
      <c r="E847" s="602"/>
      <c r="F847" s="603"/>
      <c r="G847" s="604"/>
      <c r="H847" s="605"/>
      <c r="I847" s="675">
        <v>2.74</v>
      </c>
      <c r="J847" s="675">
        <f t="shared" si="255"/>
        <v>2.74</v>
      </c>
      <c r="K847" s="606">
        <f t="shared" si="248"/>
        <v>3.32</v>
      </c>
      <c r="L847" s="389" t="s">
        <v>21</v>
      </c>
      <c r="M847" s="30"/>
      <c r="N847" s="30"/>
      <c r="O847" s="287">
        <f t="shared" si="249"/>
        <v>0</v>
      </c>
      <c r="P847" s="287">
        <f t="shared" si="250"/>
        <v>0</v>
      </c>
      <c r="Q847" s="288"/>
      <c r="R847" s="243"/>
      <c r="S847" s="385" t="str">
        <f t="shared" si="253"/>
        <v/>
      </c>
    </row>
    <row r="848" spans="2:19" ht="13.5" hidden="1" thickBot="1">
      <c r="B848" s="609">
        <v>780</v>
      </c>
      <c r="C848" s="610" t="s">
        <v>489</v>
      </c>
      <c r="D848" s="611" t="s">
        <v>659</v>
      </c>
      <c r="E848" s="602"/>
      <c r="F848" s="603"/>
      <c r="G848" s="604"/>
      <c r="H848" s="605"/>
      <c r="I848" s="675">
        <v>528.30999999999995</v>
      </c>
      <c r="J848" s="675">
        <f t="shared" si="255"/>
        <v>528.30999999999995</v>
      </c>
      <c r="K848" s="606">
        <f t="shared" si="248"/>
        <v>641.1</v>
      </c>
      <c r="L848" s="389" t="s">
        <v>177</v>
      </c>
      <c r="M848" s="30"/>
      <c r="N848" s="30"/>
      <c r="O848" s="287">
        <f t="shared" si="249"/>
        <v>0</v>
      </c>
      <c r="P848" s="287">
        <f t="shared" si="250"/>
        <v>0</v>
      </c>
      <c r="Q848" s="288"/>
      <c r="R848" s="243"/>
      <c r="S848" s="385" t="str">
        <f t="shared" si="253"/>
        <v/>
      </c>
    </row>
    <row r="849" spans="2:19" ht="13.5" hidden="1" thickBot="1">
      <c r="B849" s="609" t="s">
        <v>601</v>
      </c>
      <c r="C849" s="610" t="s">
        <v>489</v>
      </c>
      <c r="D849" s="611" t="s">
        <v>660</v>
      </c>
      <c r="E849" s="602"/>
      <c r="F849" s="603"/>
      <c r="G849" s="604"/>
      <c r="H849" s="605"/>
      <c r="I849" s="675">
        <v>211.39</v>
      </c>
      <c r="J849" s="675">
        <f t="shared" si="255"/>
        <v>211.39</v>
      </c>
      <c r="K849" s="606">
        <f t="shared" si="248"/>
        <v>256.52</v>
      </c>
      <c r="L849" s="389" t="s">
        <v>177</v>
      </c>
      <c r="M849" s="30"/>
      <c r="N849" s="30"/>
      <c r="O849" s="287">
        <f t="shared" si="249"/>
        <v>0</v>
      </c>
      <c r="P849" s="287">
        <f t="shared" si="250"/>
        <v>0</v>
      </c>
      <c r="Q849" s="288"/>
      <c r="R849" s="243"/>
      <c r="S849" s="385" t="str">
        <f t="shared" si="253"/>
        <v/>
      </c>
    </row>
    <row r="850" spans="2:19" ht="26.25" hidden="1" thickBot="1">
      <c r="B850" s="609">
        <v>781</v>
      </c>
      <c r="C850" s="610" t="s">
        <v>489</v>
      </c>
      <c r="D850" s="611" t="s">
        <v>610</v>
      </c>
      <c r="E850" s="602"/>
      <c r="F850" s="603"/>
      <c r="G850" s="604"/>
      <c r="H850" s="605"/>
      <c r="I850" s="675">
        <v>879.15</v>
      </c>
      <c r="J850" s="675">
        <f t="shared" si="255"/>
        <v>879.15</v>
      </c>
      <c r="K850" s="606">
        <f t="shared" ref="K850:K913" si="256">IF(ISBLANK(I850),0,ROUND(J850*(1+$F$10)*(1+$F$11*E850),2))</f>
        <v>1066.8499999999999</v>
      </c>
      <c r="L850" s="389" t="s">
        <v>177</v>
      </c>
      <c r="M850" s="30"/>
      <c r="N850" s="30"/>
      <c r="O850" s="287">
        <f t="shared" ref="O850:O913" si="257">IF(ISBLANK(M850),0,ROUND(K850*M850,2))</f>
        <v>0</v>
      </c>
      <c r="P850" s="287">
        <f t="shared" ref="P850:P913" si="258">IF(ISBLANK(N850),0,ROUND(M850*N850,2))</f>
        <v>0</v>
      </c>
      <c r="Q850" s="288"/>
      <c r="R850" s="243"/>
      <c r="S850" s="385" t="str">
        <f t="shared" si="253"/>
        <v/>
      </c>
    </row>
    <row r="851" spans="2:19" ht="13.5" hidden="1" thickBot="1">
      <c r="B851" s="609" t="s">
        <v>602</v>
      </c>
      <c r="C851" s="610" t="s">
        <v>489</v>
      </c>
      <c r="D851" s="611" t="s">
        <v>611</v>
      </c>
      <c r="E851" s="602"/>
      <c r="F851" s="603"/>
      <c r="G851" s="604"/>
      <c r="H851" s="605"/>
      <c r="I851" s="675">
        <v>351.52</v>
      </c>
      <c r="J851" s="675">
        <f t="shared" si="255"/>
        <v>351.52</v>
      </c>
      <c r="K851" s="606">
        <f t="shared" si="256"/>
        <v>426.57</v>
      </c>
      <c r="L851" s="389" t="s">
        <v>177</v>
      </c>
      <c r="M851" s="30"/>
      <c r="N851" s="30"/>
      <c r="O851" s="287">
        <f t="shared" si="257"/>
        <v>0</v>
      </c>
      <c r="P851" s="287">
        <f t="shared" si="258"/>
        <v>0</v>
      </c>
      <c r="Q851" s="288"/>
      <c r="R851" s="243"/>
      <c r="S851" s="385" t="str">
        <f t="shared" si="253"/>
        <v/>
      </c>
    </row>
    <row r="852" spans="2:19" ht="26.25" hidden="1" thickBot="1">
      <c r="B852" s="609">
        <v>782</v>
      </c>
      <c r="C852" s="610" t="s">
        <v>489</v>
      </c>
      <c r="D852" s="611" t="s">
        <v>612</v>
      </c>
      <c r="E852" s="602"/>
      <c r="F852" s="603"/>
      <c r="G852" s="604"/>
      <c r="H852" s="605"/>
      <c r="I852" s="675">
        <v>1465.37</v>
      </c>
      <c r="J852" s="675">
        <f t="shared" si="255"/>
        <v>1465.37</v>
      </c>
      <c r="K852" s="606">
        <f t="shared" si="256"/>
        <v>1778.23</v>
      </c>
      <c r="L852" s="389" t="s">
        <v>177</v>
      </c>
      <c r="M852" s="30"/>
      <c r="N852" s="30"/>
      <c r="O852" s="287">
        <f t="shared" si="257"/>
        <v>0</v>
      </c>
      <c r="P852" s="287">
        <f t="shared" si="258"/>
        <v>0</v>
      </c>
      <c r="Q852" s="288"/>
      <c r="R852" s="243"/>
      <c r="S852" s="385" t="str">
        <f t="shared" si="253"/>
        <v/>
      </c>
    </row>
    <row r="853" spans="2:19" ht="26.25" hidden="1" thickBot="1">
      <c r="B853" s="609" t="s">
        <v>603</v>
      </c>
      <c r="C853" s="610" t="s">
        <v>489</v>
      </c>
      <c r="D853" s="611" t="s">
        <v>613</v>
      </c>
      <c r="E853" s="602"/>
      <c r="F853" s="603"/>
      <c r="G853" s="604"/>
      <c r="H853" s="605"/>
      <c r="I853" s="675">
        <v>586.21</v>
      </c>
      <c r="J853" s="675">
        <f t="shared" si="255"/>
        <v>586.21</v>
      </c>
      <c r="K853" s="606">
        <f t="shared" si="256"/>
        <v>711.37</v>
      </c>
      <c r="L853" s="389" t="s">
        <v>177</v>
      </c>
      <c r="M853" s="30"/>
      <c r="N853" s="30"/>
      <c r="O853" s="287">
        <f t="shared" si="257"/>
        <v>0</v>
      </c>
      <c r="P853" s="287">
        <f t="shared" si="258"/>
        <v>0</v>
      </c>
      <c r="Q853" s="288"/>
      <c r="R853" s="243"/>
      <c r="S853" s="385" t="str">
        <f t="shared" si="253"/>
        <v/>
      </c>
    </row>
    <row r="854" spans="2:19" ht="13.5" hidden="1" thickBot="1">
      <c r="B854" s="609">
        <v>783</v>
      </c>
      <c r="C854" s="610" t="s">
        <v>489</v>
      </c>
      <c r="D854" s="611" t="s">
        <v>614</v>
      </c>
      <c r="E854" s="602"/>
      <c r="F854" s="603"/>
      <c r="G854" s="604"/>
      <c r="H854" s="605"/>
      <c r="I854" s="675">
        <v>1721.98</v>
      </c>
      <c r="J854" s="675">
        <f t="shared" si="255"/>
        <v>1721.98</v>
      </c>
      <c r="K854" s="606">
        <f t="shared" si="256"/>
        <v>2089.62</v>
      </c>
      <c r="L854" s="389" t="s">
        <v>177</v>
      </c>
      <c r="M854" s="30"/>
      <c r="N854" s="30"/>
      <c r="O854" s="287">
        <f t="shared" si="257"/>
        <v>0</v>
      </c>
      <c r="P854" s="287">
        <f t="shared" si="258"/>
        <v>0</v>
      </c>
      <c r="Q854" s="288"/>
      <c r="R854" s="243"/>
      <c r="S854" s="385" t="str">
        <f t="shared" si="253"/>
        <v/>
      </c>
    </row>
    <row r="855" spans="2:19" ht="13.5" hidden="1" thickBot="1">
      <c r="B855" s="609" t="s">
        <v>604</v>
      </c>
      <c r="C855" s="610" t="s">
        <v>489</v>
      </c>
      <c r="D855" s="611" t="s">
        <v>615</v>
      </c>
      <c r="E855" s="602"/>
      <c r="F855" s="603"/>
      <c r="G855" s="604"/>
      <c r="H855" s="605"/>
      <c r="I855" s="675">
        <v>688.66</v>
      </c>
      <c r="J855" s="675">
        <f t="shared" si="255"/>
        <v>688.66</v>
      </c>
      <c r="K855" s="606">
        <f t="shared" si="256"/>
        <v>835.69</v>
      </c>
      <c r="L855" s="389" t="s">
        <v>177</v>
      </c>
      <c r="M855" s="30"/>
      <c r="N855" s="30"/>
      <c r="O855" s="287">
        <f t="shared" si="257"/>
        <v>0</v>
      </c>
      <c r="P855" s="287">
        <f t="shared" si="258"/>
        <v>0</v>
      </c>
      <c r="Q855" s="288"/>
      <c r="R855" s="243"/>
      <c r="S855" s="385" t="str">
        <f t="shared" si="253"/>
        <v/>
      </c>
    </row>
    <row r="856" spans="2:19" ht="13.5" hidden="1" thickBot="1">
      <c r="B856" s="609">
        <v>784</v>
      </c>
      <c r="C856" s="610" t="s">
        <v>489</v>
      </c>
      <c r="D856" s="611" t="s">
        <v>616</v>
      </c>
      <c r="E856" s="602"/>
      <c r="F856" s="603"/>
      <c r="G856" s="604"/>
      <c r="H856" s="605"/>
      <c r="I856" s="675">
        <v>642.75</v>
      </c>
      <c r="J856" s="675">
        <f t="shared" si="255"/>
        <v>642.75</v>
      </c>
      <c r="K856" s="606">
        <f t="shared" si="256"/>
        <v>779.98</v>
      </c>
      <c r="L856" s="389" t="s">
        <v>177</v>
      </c>
      <c r="M856" s="30"/>
      <c r="N856" s="30"/>
      <c r="O856" s="287">
        <f t="shared" si="257"/>
        <v>0</v>
      </c>
      <c r="P856" s="287">
        <f t="shared" si="258"/>
        <v>0</v>
      </c>
      <c r="Q856" s="288"/>
      <c r="R856" s="243"/>
      <c r="S856" s="385" t="str">
        <f t="shared" si="253"/>
        <v/>
      </c>
    </row>
    <row r="857" spans="2:19" ht="13.5" hidden="1" thickBot="1">
      <c r="B857" s="609" t="s">
        <v>605</v>
      </c>
      <c r="C857" s="610" t="s">
        <v>489</v>
      </c>
      <c r="D857" s="611" t="s">
        <v>636</v>
      </c>
      <c r="E857" s="602"/>
      <c r="F857" s="603"/>
      <c r="G857" s="604"/>
      <c r="H857" s="605"/>
      <c r="I857" s="675">
        <v>256.95999999999998</v>
      </c>
      <c r="J857" s="675">
        <f t="shared" si="255"/>
        <v>256.95999999999998</v>
      </c>
      <c r="K857" s="606">
        <f t="shared" si="256"/>
        <v>311.82</v>
      </c>
      <c r="L857" s="389" t="s">
        <v>177</v>
      </c>
      <c r="M857" s="30"/>
      <c r="N857" s="30"/>
      <c r="O857" s="287">
        <f t="shared" si="257"/>
        <v>0</v>
      </c>
      <c r="P857" s="287">
        <f t="shared" si="258"/>
        <v>0</v>
      </c>
      <c r="Q857" s="288"/>
      <c r="R857" s="243"/>
      <c r="S857" s="385" t="str">
        <f t="shared" si="253"/>
        <v/>
      </c>
    </row>
    <row r="858" spans="2:19" ht="13.5" hidden="1" thickBot="1">
      <c r="B858" s="609">
        <v>785</v>
      </c>
      <c r="C858" s="610" t="s">
        <v>489</v>
      </c>
      <c r="D858" s="611" t="s">
        <v>617</v>
      </c>
      <c r="E858" s="602"/>
      <c r="F858" s="603"/>
      <c r="G858" s="604"/>
      <c r="H858" s="605"/>
      <c r="I858" s="675">
        <v>1706.57</v>
      </c>
      <c r="J858" s="675">
        <f t="shared" si="255"/>
        <v>1706.57</v>
      </c>
      <c r="K858" s="606">
        <f t="shared" si="256"/>
        <v>2070.92</v>
      </c>
      <c r="L858" s="389" t="s">
        <v>177</v>
      </c>
      <c r="M858" s="30"/>
      <c r="N858" s="30"/>
      <c r="O858" s="287">
        <f t="shared" si="257"/>
        <v>0</v>
      </c>
      <c r="P858" s="287">
        <f t="shared" si="258"/>
        <v>0</v>
      </c>
      <c r="Q858" s="288"/>
      <c r="R858" s="243"/>
      <c r="S858" s="385" t="str">
        <f t="shared" si="253"/>
        <v/>
      </c>
    </row>
    <row r="859" spans="2:19" ht="13.5" hidden="1" thickBot="1">
      <c r="B859" s="609" t="s">
        <v>606</v>
      </c>
      <c r="C859" s="610" t="s">
        <v>489</v>
      </c>
      <c r="D859" s="611" t="s">
        <v>618</v>
      </c>
      <c r="E859" s="602"/>
      <c r="F859" s="603"/>
      <c r="G859" s="604"/>
      <c r="H859" s="605"/>
      <c r="I859" s="675">
        <v>659.19</v>
      </c>
      <c r="J859" s="675">
        <f t="shared" si="255"/>
        <v>659.19</v>
      </c>
      <c r="K859" s="606">
        <f t="shared" si="256"/>
        <v>799.93</v>
      </c>
      <c r="L859" s="389" t="s">
        <v>177</v>
      </c>
      <c r="M859" s="30"/>
      <c r="N859" s="30"/>
      <c r="O859" s="287">
        <f t="shared" si="257"/>
        <v>0</v>
      </c>
      <c r="P859" s="287">
        <f t="shared" si="258"/>
        <v>0</v>
      </c>
      <c r="Q859" s="288"/>
      <c r="R859" s="243"/>
      <c r="S859" s="385" t="str">
        <f t="shared" si="253"/>
        <v/>
      </c>
    </row>
    <row r="860" spans="2:19" ht="13.5" hidden="1" thickBot="1">
      <c r="B860" s="609">
        <v>786</v>
      </c>
      <c r="C860" s="610" t="s">
        <v>489</v>
      </c>
      <c r="D860" s="611" t="s">
        <v>619</v>
      </c>
      <c r="E860" s="602"/>
      <c r="F860" s="603"/>
      <c r="G860" s="604"/>
      <c r="H860" s="605"/>
      <c r="I860" s="675">
        <v>535.51</v>
      </c>
      <c r="J860" s="675">
        <f t="shared" si="255"/>
        <v>535.51</v>
      </c>
      <c r="K860" s="606">
        <f t="shared" si="256"/>
        <v>649.84</v>
      </c>
      <c r="L860" s="389" t="s">
        <v>177</v>
      </c>
      <c r="M860" s="30"/>
      <c r="N860" s="30"/>
      <c r="O860" s="287">
        <f t="shared" si="257"/>
        <v>0</v>
      </c>
      <c r="P860" s="287">
        <f t="shared" si="258"/>
        <v>0</v>
      </c>
      <c r="Q860" s="288"/>
      <c r="R860" s="243"/>
      <c r="S860" s="385" t="str">
        <f t="shared" si="253"/>
        <v/>
      </c>
    </row>
    <row r="861" spans="2:19" ht="13.5" hidden="1" thickBot="1">
      <c r="B861" s="609" t="s">
        <v>607</v>
      </c>
      <c r="C861" s="610" t="s">
        <v>489</v>
      </c>
      <c r="D861" s="611" t="s">
        <v>620</v>
      </c>
      <c r="E861" s="602"/>
      <c r="F861" s="603"/>
      <c r="G861" s="604"/>
      <c r="H861" s="605"/>
      <c r="I861" s="675">
        <v>214.13</v>
      </c>
      <c r="J861" s="675">
        <f t="shared" si="255"/>
        <v>214.13</v>
      </c>
      <c r="K861" s="606">
        <f t="shared" si="256"/>
        <v>259.85000000000002</v>
      </c>
      <c r="L861" s="389" t="s">
        <v>177</v>
      </c>
      <c r="M861" s="30"/>
      <c r="N861" s="30"/>
      <c r="O861" s="287">
        <f t="shared" si="257"/>
        <v>0</v>
      </c>
      <c r="P861" s="287">
        <f t="shared" si="258"/>
        <v>0</v>
      </c>
      <c r="Q861" s="288"/>
      <c r="R861" s="243"/>
      <c r="S861" s="385" t="str">
        <f t="shared" si="253"/>
        <v/>
      </c>
    </row>
    <row r="862" spans="2:19" ht="13.5" hidden="1" thickBot="1">
      <c r="B862" s="609">
        <v>787</v>
      </c>
      <c r="C862" s="610" t="s">
        <v>489</v>
      </c>
      <c r="D862" s="611" t="s">
        <v>621</v>
      </c>
      <c r="E862" s="602"/>
      <c r="F862" s="603"/>
      <c r="G862" s="604"/>
      <c r="H862" s="605"/>
      <c r="I862" s="675">
        <v>484.12</v>
      </c>
      <c r="J862" s="675">
        <f t="shared" si="255"/>
        <v>484.12</v>
      </c>
      <c r="K862" s="606">
        <f t="shared" si="256"/>
        <v>587.48</v>
      </c>
      <c r="L862" s="389" t="s">
        <v>177</v>
      </c>
      <c r="M862" s="30"/>
      <c r="N862" s="30"/>
      <c r="O862" s="287">
        <f t="shared" si="257"/>
        <v>0</v>
      </c>
      <c r="P862" s="287">
        <f t="shared" si="258"/>
        <v>0</v>
      </c>
      <c r="Q862" s="288"/>
      <c r="R862" s="243"/>
      <c r="S862" s="385" t="str">
        <f t="shared" si="253"/>
        <v/>
      </c>
    </row>
    <row r="863" spans="2:19" ht="13.5" hidden="1" thickBot="1">
      <c r="B863" s="609" t="s">
        <v>608</v>
      </c>
      <c r="C863" s="610" t="s">
        <v>489</v>
      </c>
      <c r="D863" s="611" t="s">
        <v>622</v>
      </c>
      <c r="E863" s="602"/>
      <c r="F863" s="603"/>
      <c r="G863" s="604"/>
      <c r="H863" s="605"/>
      <c r="I863" s="675">
        <v>193.58</v>
      </c>
      <c r="J863" s="675">
        <f t="shared" si="255"/>
        <v>193.58</v>
      </c>
      <c r="K863" s="606">
        <f t="shared" si="256"/>
        <v>234.91</v>
      </c>
      <c r="L863" s="389" t="s">
        <v>177</v>
      </c>
      <c r="M863" s="30"/>
      <c r="N863" s="30"/>
      <c r="O863" s="287">
        <f t="shared" si="257"/>
        <v>0</v>
      </c>
      <c r="P863" s="287">
        <f t="shared" si="258"/>
        <v>0</v>
      </c>
      <c r="Q863" s="288"/>
      <c r="R863" s="243"/>
      <c r="S863" s="385" t="str">
        <f t="shared" si="253"/>
        <v/>
      </c>
    </row>
    <row r="864" spans="2:19" ht="13.5" hidden="1" thickBot="1">
      <c r="B864" s="609">
        <v>790</v>
      </c>
      <c r="C864" s="610" t="s">
        <v>489</v>
      </c>
      <c r="D864" s="611" t="s">
        <v>623</v>
      </c>
      <c r="E864" s="602"/>
      <c r="F864" s="603"/>
      <c r="G864" s="604"/>
      <c r="H864" s="605"/>
      <c r="I864" s="675">
        <v>12.68</v>
      </c>
      <c r="J864" s="675">
        <f t="shared" si="255"/>
        <v>12.68</v>
      </c>
      <c r="K864" s="606">
        <f t="shared" si="256"/>
        <v>15.39</v>
      </c>
      <c r="L864" s="389" t="s">
        <v>19</v>
      </c>
      <c r="M864" s="30"/>
      <c r="N864" s="30"/>
      <c r="O864" s="287">
        <f t="shared" si="257"/>
        <v>0</v>
      </c>
      <c r="P864" s="287">
        <f t="shared" si="258"/>
        <v>0</v>
      </c>
      <c r="Q864" s="288"/>
      <c r="R864" s="243"/>
      <c r="S864" s="385" t="str">
        <f t="shared" si="253"/>
        <v/>
      </c>
    </row>
    <row r="865" spans="2:19" ht="13.5" hidden="1" thickBot="1">
      <c r="B865" s="609" t="s">
        <v>609</v>
      </c>
      <c r="C865" s="610" t="s">
        <v>489</v>
      </c>
      <c r="D865" s="611" t="s">
        <v>624</v>
      </c>
      <c r="E865" s="602"/>
      <c r="F865" s="603"/>
      <c r="G865" s="604"/>
      <c r="H865" s="605"/>
      <c r="I865" s="675">
        <v>5.14</v>
      </c>
      <c r="J865" s="675">
        <f t="shared" si="255"/>
        <v>5.14</v>
      </c>
      <c r="K865" s="606">
        <f t="shared" si="256"/>
        <v>6.24</v>
      </c>
      <c r="L865" s="389" t="s">
        <v>19</v>
      </c>
      <c r="M865" s="30"/>
      <c r="N865" s="30"/>
      <c r="O865" s="287">
        <f t="shared" si="257"/>
        <v>0</v>
      </c>
      <c r="P865" s="287">
        <f t="shared" si="258"/>
        <v>0</v>
      </c>
      <c r="Q865" s="288"/>
      <c r="R865" s="243"/>
      <c r="S865" s="385" t="str">
        <f t="shared" si="253"/>
        <v/>
      </c>
    </row>
    <row r="866" spans="2:19" ht="13.5" hidden="1" thickBot="1">
      <c r="B866" s="609">
        <v>800</v>
      </c>
      <c r="C866" s="610" t="s">
        <v>489</v>
      </c>
      <c r="D866" s="611" t="s">
        <v>625</v>
      </c>
      <c r="E866" s="602"/>
      <c r="F866" s="603"/>
      <c r="G866" s="604"/>
      <c r="H866" s="605"/>
      <c r="I866" s="675">
        <v>15.08</v>
      </c>
      <c r="J866" s="675">
        <f t="shared" ref="J866" si="259">IF(ISBLANK(I866),"",SUM(H866:I866))</f>
        <v>15.08</v>
      </c>
      <c r="K866" s="606">
        <f t="shared" si="256"/>
        <v>18.3</v>
      </c>
      <c r="L866" s="389" t="s">
        <v>21</v>
      </c>
      <c r="M866" s="30"/>
      <c r="N866" s="30"/>
      <c r="O866" s="287">
        <f t="shared" si="257"/>
        <v>0</v>
      </c>
      <c r="P866" s="287">
        <f t="shared" si="258"/>
        <v>0</v>
      </c>
      <c r="Q866" s="288"/>
      <c r="R866" s="243"/>
      <c r="S866" s="385" t="str">
        <f t="shared" si="253"/>
        <v/>
      </c>
    </row>
    <row r="867" spans="2:19" ht="13.5" hidden="1" thickBot="1">
      <c r="B867" s="609">
        <v>860</v>
      </c>
      <c r="C867" s="610" t="s">
        <v>489</v>
      </c>
      <c r="D867" s="611" t="s">
        <v>630</v>
      </c>
      <c r="E867" s="602"/>
      <c r="F867" s="603"/>
      <c r="G867" s="604"/>
      <c r="H867" s="605"/>
      <c r="I867" s="675">
        <v>560.17999999999995</v>
      </c>
      <c r="J867" s="675">
        <f t="shared" ref="J867:J911" si="260">IF(ISBLANK(I867),"",SUM(H867:I867))</f>
        <v>560.17999999999995</v>
      </c>
      <c r="K867" s="606">
        <f t="shared" si="256"/>
        <v>679.78</v>
      </c>
      <c r="L867" s="389" t="s">
        <v>177</v>
      </c>
      <c r="M867" s="30"/>
      <c r="N867" s="30"/>
      <c r="O867" s="287">
        <f t="shared" si="257"/>
        <v>0</v>
      </c>
      <c r="P867" s="287">
        <f t="shared" si="258"/>
        <v>0</v>
      </c>
      <c r="Q867" s="288"/>
      <c r="R867" s="243"/>
      <c r="S867" s="385" t="str">
        <f t="shared" si="253"/>
        <v/>
      </c>
    </row>
    <row r="868" spans="2:19" ht="13.5" hidden="1" thickBot="1">
      <c r="B868" s="609" t="s">
        <v>627</v>
      </c>
      <c r="C868" s="610" t="s">
        <v>489</v>
      </c>
      <c r="D868" s="611" t="s">
        <v>631</v>
      </c>
      <c r="E868" s="602"/>
      <c r="F868" s="603"/>
      <c r="G868" s="604"/>
      <c r="H868" s="605"/>
      <c r="I868" s="675">
        <v>224.07</v>
      </c>
      <c r="J868" s="675">
        <f t="shared" si="260"/>
        <v>224.07</v>
      </c>
      <c r="K868" s="606">
        <f t="shared" si="256"/>
        <v>271.91000000000003</v>
      </c>
      <c r="L868" s="389" t="s">
        <v>177</v>
      </c>
      <c r="M868" s="30"/>
      <c r="N868" s="30"/>
      <c r="O868" s="287">
        <f t="shared" si="257"/>
        <v>0</v>
      </c>
      <c r="P868" s="287">
        <f t="shared" si="258"/>
        <v>0</v>
      </c>
      <c r="Q868" s="288"/>
      <c r="R868" s="243"/>
      <c r="S868" s="385" t="str">
        <f t="shared" si="253"/>
        <v/>
      </c>
    </row>
    <row r="869" spans="2:19" ht="13.5" hidden="1" thickBot="1">
      <c r="B869" s="609">
        <v>864</v>
      </c>
      <c r="C869" s="610" t="s">
        <v>489</v>
      </c>
      <c r="D869" s="611" t="s">
        <v>633</v>
      </c>
      <c r="E869" s="602"/>
      <c r="F869" s="603"/>
      <c r="G869" s="604"/>
      <c r="H869" s="605"/>
      <c r="I869" s="675">
        <v>6.85</v>
      </c>
      <c r="J869" s="675">
        <f t="shared" si="260"/>
        <v>6.85</v>
      </c>
      <c r="K869" s="606">
        <f t="shared" si="256"/>
        <v>8.31</v>
      </c>
      <c r="L869" s="389" t="s">
        <v>19</v>
      </c>
      <c r="M869" s="30"/>
      <c r="N869" s="30"/>
      <c r="O869" s="287">
        <f t="shared" si="257"/>
        <v>0</v>
      </c>
      <c r="P869" s="287">
        <f t="shared" si="258"/>
        <v>0</v>
      </c>
      <c r="Q869" s="288"/>
      <c r="R869" s="243"/>
      <c r="S869" s="385" t="str">
        <f t="shared" si="253"/>
        <v/>
      </c>
    </row>
    <row r="870" spans="2:19" ht="13.5" hidden="1" thickBot="1">
      <c r="B870" s="609" t="s">
        <v>628</v>
      </c>
      <c r="C870" s="610" t="s">
        <v>489</v>
      </c>
      <c r="D870" s="611" t="s">
        <v>634</v>
      </c>
      <c r="E870" s="602"/>
      <c r="F870" s="603"/>
      <c r="G870" s="604"/>
      <c r="H870" s="605"/>
      <c r="I870" s="675">
        <v>5.14</v>
      </c>
      <c r="J870" s="675">
        <f t="shared" si="260"/>
        <v>5.14</v>
      </c>
      <c r="K870" s="606">
        <f t="shared" si="256"/>
        <v>6.24</v>
      </c>
      <c r="L870" s="389" t="s">
        <v>19</v>
      </c>
      <c r="M870" s="30"/>
      <c r="N870" s="30"/>
      <c r="O870" s="287">
        <f t="shared" si="257"/>
        <v>0</v>
      </c>
      <c r="P870" s="287">
        <f t="shared" si="258"/>
        <v>0</v>
      </c>
      <c r="Q870" s="288"/>
      <c r="R870" s="243"/>
      <c r="S870" s="385" t="str">
        <f t="shared" si="253"/>
        <v/>
      </c>
    </row>
    <row r="871" spans="2:19" ht="13.5" hidden="1" thickBot="1">
      <c r="B871" s="609">
        <v>866</v>
      </c>
      <c r="C871" s="610" t="s">
        <v>489</v>
      </c>
      <c r="D871" s="611" t="s">
        <v>632</v>
      </c>
      <c r="E871" s="602"/>
      <c r="F871" s="603"/>
      <c r="G871" s="604"/>
      <c r="H871" s="605"/>
      <c r="I871" s="675">
        <v>33.92</v>
      </c>
      <c r="J871" s="675">
        <f t="shared" si="260"/>
        <v>33.92</v>
      </c>
      <c r="K871" s="606">
        <f t="shared" si="256"/>
        <v>41.16</v>
      </c>
      <c r="L871" s="389" t="s">
        <v>21</v>
      </c>
      <c r="M871" s="30"/>
      <c r="N871" s="30"/>
      <c r="O871" s="287">
        <f t="shared" si="257"/>
        <v>0</v>
      </c>
      <c r="P871" s="287">
        <f t="shared" si="258"/>
        <v>0</v>
      </c>
      <c r="Q871" s="288"/>
      <c r="R871" s="243"/>
      <c r="S871" s="385" t="str">
        <f t="shared" si="253"/>
        <v/>
      </c>
    </row>
    <row r="872" spans="2:19" ht="13.5" hidden="1" thickBot="1">
      <c r="B872" s="609" t="s">
        <v>629</v>
      </c>
      <c r="C872" s="610" t="s">
        <v>489</v>
      </c>
      <c r="D872" s="611" t="s">
        <v>635</v>
      </c>
      <c r="E872" s="602"/>
      <c r="F872" s="603"/>
      <c r="G872" s="604"/>
      <c r="H872" s="605"/>
      <c r="I872" s="675">
        <v>13.7</v>
      </c>
      <c r="J872" s="675">
        <f t="shared" si="260"/>
        <v>13.7</v>
      </c>
      <c r="K872" s="606">
        <f t="shared" si="256"/>
        <v>16.62</v>
      </c>
      <c r="L872" s="389" t="s">
        <v>21</v>
      </c>
      <c r="M872" s="30"/>
      <c r="N872" s="30"/>
      <c r="O872" s="287">
        <f t="shared" si="257"/>
        <v>0</v>
      </c>
      <c r="P872" s="287">
        <f t="shared" si="258"/>
        <v>0</v>
      </c>
      <c r="Q872" s="288"/>
      <c r="R872" s="243"/>
      <c r="S872" s="385" t="str">
        <f t="shared" si="253"/>
        <v/>
      </c>
    </row>
    <row r="873" spans="2:19" ht="13.5" hidden="1" thickBot="1">
      <c r="B873" s="609">
        <v>792</v>
      </c>
      <c r="C873" s="610" t="s">
        <v>489</v>
      </c>
      <c r="D873" s="611" t="s">
        <v>658</v>
      </c>
      <c r="E873" s="602"/>
      <c r="F873" s="603"/>
      <c r="G873" s="604"/>
      <c r="H873" s="605"/>
      <c r="I873" s="675">
        <v>395.04</v>
      </c>
      <c r="J873" s="675">
        <f t="shared" si="260"/>
        <v>395.04</v>
      </c>
      <c r="K873" s="606">
        <f t="shared" si="256"/>
        <v>479.38</v>
      </c>
      <c r="L873" s="389" t="s">
        <v>177</v>
      </c>
      <c r="M873" s="30"/>
      <c r="N873" s="30"/>
      <c r="O873" s="287">
        <f t="shared" si="257"/>
        <v>0</v>
      </c>
      <c r="P873" s="287">
        <f t="shared" si="258"/>
        <v>0</v>
      </c>
      <c r="Q873" s="288"/>
      <c r="R873" s="243"/>
      <c r="S873" s="385" t="str">
        <f t="shared" si="253"/>
        <v/>
      </c>
    </row>
    <row r="874" spans="2:19" ht="13.5" hidden="1" thickBot="1">
      <c r="B874" s="609" t="s">
        <v>655</v>
      </c>
      <c r="C874" s="610" t="s">
        <v>489</v>
      </c>
      <c r="D874" s="611" t="s">
        <v>735</v>
      </c>
      <c r="E874" s="602"/>
      <c r="F874" s="603"/>
      <c r="G874" s="604"/>
      <c r="H874" s="605"/>
      <c r="I874" s="675">
        <v>157.94999999999999</v>
      </c>
      <c r="J874" s="675">
        <f t="shared" si="260"/>
        <v>157.94999999999999</v>
      </c>
      <c r="K874" s="606">
        <f t="shared" si="256"/>
        <v>191.67</v>
      </c>
      <c r="L874" s="389" t="s">
        <v>177</v>
      </c>
      <c r="M874" s="30"/>
      <c r="N874" s="30"/>
      <c r="O874" s="287">
        <f t="shared" si="257"/>
        <v>0</v>
      </c>
      <c r="P874" s="287">
        <f t="shared" si="258"/>
        <v>0</v>
      </c>
      <c r="Q874" s="288"/>
      <c r="R874" s="243"/>
      <c r="S874" s="385" t="str">
        <f t="shared" si="253"/>
        <v/>
      </c>
    </row>
    <row r="875" spans="2:19" ht="13.5" hidden="1" thickBot="1">
      <c r="B875" s="609">
        <v>793</v>
      </c>
      <c r="C875" s="610" t="s">
        <v>489</v>
      </c>
      <c r="D875" s="611" t="s">
        <v>661</v>
      </c>
      <c r="E875" s="602"/>
      <c r="F875" s="603"/>
      <c r="G875" s="604"/>
      <c r="H875" s="605"/>
      <c r="I875" s="675">
        <v>504.33</v>
      </c>
      <c r="J875" s="675">
        <f t="shared" si="260"/>
        <v>504.33</v>
      </c>
      <c r="K875" s="606">
        <f t="shared" si="256"/>
        <v>612</v>
      </c>
      <c r="L875" s="389" t="s">
        <v>177</v>
      </c>
      <c r="M875" s="30"/>
      <c r="N875" s="30"/>
      <c r="O875" s="287">
        <f t="shared" si="257"/>
        <v>0</v>
      </c>
      <c r="P875" s="287">
        <f t="shared" si="258"/>
        <v>0</v>
      </c>
      <c r="Q875" s="288"/>
      <c r="R875" s="243"/>
      <c r="S875" s="385" t="str">
        <f t="shared" si="253"/>
        <v/>
      </c>
    </row>
    <row r="876" spans="2:19" ht="13.5" hidden="1" thickBot="1">
      <c r="B876" s="609" t="s">
        <v>701</v>
      </c>
      <c r="C876" s="610" t="s">
        <v>489</v>
      </c>
      <c r="D876" s="611" t="s">
        <v>734</v>
      </c>
      <c r="E876" s="602"/>
      <c r="F876" s="603"/>
      <c r="G876" s="604"/>
      <c r="H876" s="605"/>
      <c r="I876" s="675">
        <v>202.14</v>
      </c>
      <c r="J876" s="675">
        <f t="shared" si="260"/>
        <v>202.14</v>
      </c>
      <c r="K876" s="606">
        <f t="shared" si="256"/>
        <v>245.3</v>
      </c>
      <c r="L876" s="389" t="s">
        <v>177</v>
      </c>
      <c r="M876" s="30"/>
      <c r="N876" s="30"/>
      <c r="O876" s="287">
        <f t="shared" si="257"/>
        <v>0</v>
      </c>
      <c r="P876" s="287">
        <f t="shared" si="258"/>
        <v>0</v>
      </c>
      <c r="Q876" s="288"/>
      <c r="R876" s="243"/>
      <c r="S876" s="385" t="str">
        <f t="shared" si="253"/>
        <v/>
      </c>
    </row>
    <row r="877" spans="2:19" ht="13.5" hidden="1" thickBot="1">
      <c r="B877" s="609">
        <v>794</v>
      </c>
      <c r="C877" s="610" t="s">
        <v>489</v>
      </c>
      <c r="D877" s="611" t="s">
        <v>662</v>
      </c>
      <c r="E877" s="602"/>
      <c r="F877" s="603"/>
      <c r="G877" s="604"/>
      <c r="H877" s="605"/>
      <c r="I877" s="675">
        <v>516.32000000000005</v>
      </c>
      <c r="J877" s="675">
        <f t="shared" si="260"/>
        <v>516.32000000000005</v>
      </c>
      <c r="K877" s="606">
        <f t="shared" si="256"/>
        <v>626.54999999999995</v>
      </c>
      <c r="L877" s="389" t="s">
        <v>177</v>
      </c>
      <c r="M877" s="30"/>
      <c r="N877" s="30"/>
      <c r="O877" s="287">
        <f t="shared" si="257"/>
        <v>0</v>
      </c>
      <c r="P877" s="287">
        <f t="shared" si="258"/>
        <v>0</v>
      </c>
      <c r="Q877" s="288"/>
      <c r="R877" s="243"/>
      <c r="S877" s="385" t="str">
        <f t="shared" si="253"/>
        <v/>
      </c>
    </row>
    <row r="878" spans="2:19" ht="13.5" hidden="1" thickBot="1">
      <c r="B878" s="609" t="s">
        <v>653</v>
      </c>
      <c r="C878" s="610" t="s">
        <v>489</v>
      </c>
      <c r="D878" s="611" t="s">
        <v>663</v>
      </c>
      <c r="E878" s="602"/>
      <c r="F878" s="603"/>
      <c r="G878" s="604"/>
      <c r="H878" s="605"/>
      <c r="I878" s="675">
        <v>206.6</v>
      </c>
      <c r="J878" s="675">
        <f t="shared" si="260"/>
        <v>206.6</v>
      </c>
      <c r="K878" s="606">
        <f t="shared" si="256"/>
        <v>250.71</v>
      </c>
      <c r="L878" s="389" t="s">
        <v>177</v>
      </c>
      <c r="M878" s="30"/>
      <c r="N878" s="30"/>
      <c r="O878" s="287">
        <f t="shared" si="257"/>
        <v>0</v>
      </c>
      <c r="P878" s="287">
        <f t="shared" si="258"/>
        <v>0</v>
      </c>
      <c r="Q878" s="288"/>
      <c r="R878" s="243"/>
      <c r="S878" s="385" t="str">
        <f t="shared" si="253"/>
        <v/>
      </c>
    </row>
    <row r="879" spans="2:19" ht="13.5" hidden="1" thickBot="1">
      <c r="B879" s="609">
        <v>795</v>
      </c>
      <c r="C879" s="610" t="s">
        <v>489</v>
      </c>
      <c r="D879" s="611" t="s">
        <v>664</v>
      </c>
      <c r="E879" s="602"/>
      <c r="F879" s="603"/>
      <c r="G879" s="604"/>
      <c r="H879" s="605"/>
      <c r="I879" s="675">
        <v>1527.72</v>
      </c>
      <c r="J879" s="675">
        <f t="shared" si="260"/>
        <v>1527.72</v>
      </c>
      <c r="K879" s="606">
        <f t="shared" si="256"/>
        <v>1853.89</v>
      </c>
      <c r="L879" s="389" t="s">
        <v>177</v>
      </c>
      <c r="M879" s="30"/>
      <c r="N879" s="30"/>
      <c r="O879" s="287">
        <f t="shared" si="257"/>
        <v>0</v>
      </c>
      <c r="P879" s="287">
        <f t="shared" si="258"/>
        <v>0</v>
      </c>
      <c r="Q879" s="288"/>
      <c r="R879" s="243"/>
      <c r="S879" s="385" t="str">
        <f t="shared" si="253"/>
        <v/>
      </c>
    </row>
    <row r="880" spans="2:19" ht="13.5" hidden="1" thickBot="1">
      <c r="B880" s="609" t="s">
        <v>654</v>
      </c>
      <c r="C880" s="610" t="s">
        <v>489</v>
      </c>
      <c r="D880" s="611" t="s">
        <v>665</v>
      </c>
      <c r="E880" s="602"/>
      <c r="F880" s="603"/>
      <c r="G880" s="604"/>
      <c r="H880" s="605"/>
      <c r="I880" s="675">
        <v>611.23</v>
      </c>
      <c r="J880" s="675">
        <f t="shared" si="260"/>
        <v>611.23</v>
      </c>
      <c r="K880" s="606">
        <f t="shared" si="256"/>
        <v>741.73</v>
      </c>
      <c r="L880" s="389" t="s">
        <v>177</v>
      </c>
      <c r="M880" s="30"/>
      <c r="N880" s="30"/>
      <c r="O880" s="287">
        <f t="shared" si="257"/>
        <v>0</v>
      </c>
      <c r="P880" s="287">
        <f t="shared" si="258"/>
        <v>0</v>
      </c>
      <c r="Q880" s="288"/>
      <c r="R880" s="243"/>
      <c r="S880" s="385" t="str">
        <f t="shared" si="253"/>
        <v/>
      </c>
    </row>
    <row r="881" spans="2:19" ht="13.5" hidden="1" thickBot="1">
      <c r="B881" s="609">
        <v>796</v>
      </c>
      <c r="C881" s="610" t="s">
        <v>489</v>
      </c>
      <c r="D881" s="611" t="s">
        <v>666</v>
      </c>
      <c r="E881" s="602"/>
      <c r="F881" s="603"/>
      <c r="G881" s="604"/>
      <c r="H881" s="605"/>
      <c r="I881" s="675">
        <v>8.57</v>
      </c>
      <c r="J881" s="675">
        <f t="shared" si="260"/>
        <v>8.57</v>
      </c>
      <c r="K881" s="606">
        <f t="shared" si="256"/>
        <v>10.4</v>
      </c>
      <c r="L881" s="389" t="s">
        <v>19</v>
      </c>
      <c r="M881" s="30"/>
      <c r="N881" s="30"/>
      <c r="O881" s="287">
        <f t="shared" si="257"/>
        <v>0</v>
      </c>
      <c r="P881" s="287">
        <f t="shared" si="258"/>
        <v>0</v>
      </c>
      <c r="Q881" s="288"/>
      <c r="R881" s="243"/>
      <c r="S881" s="385" t="str">
        <f t="shared" si="253"/>
        <v/>
      </c>
    </row>
    <row r="882" spans="2:19" ht="13.5" hidden="1" thickBot="1">
      <c r="B882" s="609" t="s">
        <v>656</v>
      </c>
      <c r="C882" s="610" t="s">
        <v>489</v>
      </c>
      <c r="D882" s="611" t="s">
        <v>667</v>
      </c>
      <c r="E882" s="602"/>
      <c r="F882" s="603"/>
      <c r="G882" s="604"/>
      <c r="H882" s="605"/>
      <c r="I882" s="675">
        <v>3.43</v>
      </c>
      <c r="J882" s="675">
        <f t="shared" si="260"/>
        <v>3.43</v>
      </c>
      <c r="K882" s="606">
        <f t="shared" si="256"/>
        <v>4.16</v>
      </c>
      <c r="L882" s="389" t="s">
        <v>19</v>
      </c>
      <c r="M882" s="30"/>
      <c r="N882" s="30"/>
      <c r="O882" s="287">
        <f t="shared" si="257"/>
        <v>0</v>
      </c>
      <c r="P882" s="287">
        <f t="shared" si="258"/>
        <v>0</v>
      </c>
      <c r="Q882" s="288"/>
      <c r="R882" s="243"/>
      <c r="S882" s="385" t="str">
        <f t="shared" si="253"/>
        <v/>
      </c>
    </row>
    <row r="883" spans="2:19" ht="13.5" hidden="1" thickBot="1">
      <c r="B883" s="609">
        <v>867</v>
      </c>
      <c r="C883" s="610" t="s">
        <v>489</v>
      </c>
      <c r="D883" s="611" t="s">
        <v>669</v>
      </c>
      <c r="E883" s="602"/>
      <c r="F883" s="603"/>
      <c r="G883" s="604"/>
      <c r="H883" s="605"/>
      <c r="I883" s="675">
        <v>11.99</v>
      </c>
      <c r="J883" s="675">
        <f t="shared" si="260"/>
        <v>11.99</v>
      </c>
      <c r="K883" s="606">
        <f t="shared" si="256"/>
        <v>14.55</v>
      </c>
      <c r="L883" s="389" t="s">
        <v>21</v>
      </c>
      <c r="M883" s="30"/>
      <c r="N883" s="30"/>
      <c r="O883" s="287">
        <f t="shared" si="257"/>
        <v>0</v>
      </c>
      <c r="P883" s="287">
        <f t="shared" si="258"/>
        <v>0</v>
      </c>
      <c r="Q883" s="288"/>
      <c r="R883" s="243"/>
      <c r="S883" s="385" t="str">
        <f t="shared" si="253"/>
        <v/>
      </c>
    </row>
    <row r="884" spans="2:19" ht="13.5" hidden="1" thickBot="1">
      <c r="B884" s="609" t="s">
        <v>657</v>
      </c>
      <c r="C884" s="610" t="s">
        <v>489</v>
      </c>
      <c r="D884" s="611" t="s">
        <v>668</v>
      </c>
      <c r="E884" s="602"/>
      <c r="F884" s="603"/>
      <c r="G884" s="604"/>
      <c r="H884" s="605"/>
      <c r="I884" s="675">
        <v>4.8</v>
      </c>
      <c r="J884" s="675">
        <f t="shared" si="260"/>
        <v>4.8</v>
      </c>
      <c r="K884" s="606">
        <f t="shared" si="256"/>
        <v>5.82</v>
      </c>
      <c r="L884" s="389" t="s">
        <v>21</v>
      </c>
      <c r="M884" s="30"/>
      <c r="N884" s="30"/>
      <c r="O884" s="287">
        <f t="shared" si="257"/>
        <v>0</v>
      </c>
      <c r="P884" s="287">
        <f t="shared" si="258"/>
        <v>0</v>
      </c>
      <c r="Q884" s="288"/>
      <c r="R884" s="243"/>
      <c r="S884" s="385" t="str">
        <f t="shared" si="253"/>
        <v/>
      </c>
    </row>
    <row r="885" spans="2:19" ht="13.5" hidden="1" thickBot="1">
      <c r="B885" s="609">
        <v>801</v>
      </c>
      <c r="C885" s="610" t="s">
        <v>489</v>
      </c>
      <c r="D885" s="611" t="s">
        <v>698</v>
      </c>
      <c r="E885" s="602"/>
      <c r="F885" s="603"/>
      <c r="G885" s="604"/>
      <c r="H885" s="605"/>
      <c r="I885" s="675">
        <v>12.68</v>
      </c>
      <c r="J885" s="675">
        <f t="shared" si="260"/>
        <v>12.68</v>
      </c>
      <c r="K885" s="606">
        <f t="shared" si="256"/>
        <v>15.39</v>
      </c>
      <c r="L885" s="389" t="s">
        <v>21</v>
      </c>
      <c r="M885" s="30"/>
      <c r="N885" s="30"/>
      <c r="O885" s="287">
        <f t="shared" si="257"/>
        <v>0</v>
      </c>
      <c r="P885" s="287">
        <f t="shared" si="258"/>
        <v>0</v>
      </c>
      <c r="Q885" s="288"/>
      <c r="R885" s="243"/>
      <c r="S885" s="385" t="str">
        <f t="shared" si="253"/>
        <v/>
      </c>
    </row>
    <row r="886" spans="2:19" ht="13.5" hidden="1" thickBot="1">
      <c r="B886" s="609">
        <v>813</v>
      </c>
      <c r="C886" s="610" t="s">
        <v>489</v>
      </c>
      <c r="D886" s="611" t="s">
        <v>672</v>
      </c>
      <c r="E886" s="602"/>
      <c r="F886" s="603"/>
      <c r="G886" s="604"/>
      <c r="H886" s="605"/>
      <c r="I886" s="675">
        <v>26.72</v>
      </c>
      <c r="J886" s="675">
        <f t="shared" si="260"/>
        <v>26.72</v>
      </c>
      <c r="K886" s="606">
        <f t="shared" si="256"/>
        <v>32.42</v>
      </c>
      <c r="L886" s="389" t="s">
        <v>21</v>
      </c>
      <c r="M886" s="30"/>
      <c r="N886" s="30"/>
      <c r="O886" s="287">
        <f t="shared" si="257"/>
        <v>0</v>
      </c>
      <c r="P886" s="287">
        <f t="shared" si="258"/>
        <v>0</v>
      </c>
      <c r="Q886" s="288"/>
      <c r="R886" s="243"/>
      <c r="S886" s="385" t="str">
        <f t="shared" si="253"/>
        <v/>
      </c>
    </row>
    <row r="887" spans="2:19" ht="13.5" hidden="1" thickBot="1">
      <c r="B887" s="609" t="s">
        <v>670</v>
      </c>
      <c r="C887" s="610" t="s">
        <v>489</v>
      </c>
      <c r="D887" s="611" t="s">
        <v>673</v>
      </c>
      <c r="E887" s="602"/>
      <c r="F887" s="603"/>
      <c r="G887" s="604"/>
      <c r="H887" s="605"/>
      <c r="I887" s="675">
        <v>10.62</v>
      </c>
      <c r="J887" s="675">
        <f t="shared" si="260"/>
        <v>10.62</v>
      </c>
      <c r="K887" s="606">
        <f t="shared" si="256"/>
        <v>12.89</v>
      </c>
      <c r="L887" s="389" t="s">
        <v>21</v>
      </c>
      <c r="M887" s="30"/>
      <c r="N887" s="30"/>
      <c r="O887" s="287">
        <f t="shared" si="257"/>
        <v>0</v>
      </c>
      <c r="P887" s="287">
        <f t="shared" si="258"/>
        <v>0</v>
      </c>
      <c r="Q887" s="288"/>
      <c r="R887" s="243"/>
      <c r="S887" s="385" t="str">
        <f t="shared" si="253"/>
        <v/>
      </c>
    </row>
    <row r="888" spans="2:19" ht="13.5" hidden="1" thickBot="1">
      <c r="B888" s="609">
        <v>811</v>
      </c>
      <c r="C888" s="610" t="s">
        <v>489</v>
      </c>
      <c r="D888" s="611" t="s">
        <v>675</v>
      </c>
      <c r="E888" s="602"/>
      <c r="F888" s="603"/>
      <c r="G888" s="604"/>
      <c r="H888" s="605"/>
      <c r="I888" s="675">
        <v>13.02</v>
      </c>
      <c r="J888" s="675">
        <f t="shared" si="260"/>
        <v>13.02</v>
      </c>
      <c r="K888" s="606">
        <f t="shared" si="256"/>
        <v>15.8</v>
      </c>
      <c r="L888" s="389" t="s">
        <v>21</v>
      </c>
      <c r="M888" s="30"/>
      <c r="N888" s="30"/>
      <c r="O888" s="287">
        <f t="shared" si="257"/>
        <v>0</v>
      </c>
      <c r="P888" s="287">
        <f t="shared" si="258"/>
        <v>0</v>
      </c>
      <c r="Q888" s="288"/>
      <c r="R888" s="243"/>
      <c r="S888" s="385" t="str">
        <f t="shared" si="253"/>
        <v/>
      </c>
    </row>
    <row r="889" spans="2:19" ht="13.5" hidden="1" thickBot="1">
      <c r="B889" s="609">
        <v>814</v>
      </c>
      <c r="C889" s="610" t="s">
        <v>489</v>
      </c>
      <c r="D889" s="611" t="s">
        <v>674</v>
      </c>
      <c r="E889" s="602"/>
      <c r="F889" s="603"/>
      <c r="G889" s="604"/>
      <c r="H889" s="605"/>
      <c r="I889" s="675">
        <v>34.6</v>
      </c>
      <c r="J889" s="675">
        <f t="shared" si="260"/>
        <v>34.6</v>
      </c>
      <c r="K889" s="606">
        <f t="shared" si="256"/>
        <v>41.99</v>
      </c>
      <c r="L889" s="389" t="s">
        <v>21</v>
      </c>
      <c r="M889" s="30"/>
      <c r="N889" s="30"/>
      <c r="O889" s="287">
        <f t="shared" si="257"/>
        <v>0</v>
      </c>
      <c r="P889" s="287">
        <f t="shared" si="258"/>
        <v>0</v>
      </c>
      <c r="Q889" s="288"/>
      <c r="R889" s="243"/>
      <c r="S889" s="385" t="str">
        <f t="shared" si="253"/>
        <v/>
      </c>
    </row>
    <row r="890" spans="2:19" ht="13.5" hidden="1" thickBot="1">
      <c r="B890" s="609">
        <v>815</v>
      </c>
      <c r="C890" s="610" t="s">
        <v>489</v>
      </c>
      <c r="D890" s="611" t="s">
        <v>676</v>
      </c>
      <c r="E890" s="602"/>
      <c r="F890" s="603"/>
      <c r="G890" s="604"/>
      <c r="H890" s="605"/>
      <c r="I890" s="675">
        <v>60.64</v>
      </c>
      <c r="J890" s="675">
        <f t="shared" si="260"/>
        <v>60.64</v>
      </c>
      <c r="K890" s="606">
        <f t="shared" si="256"/>
        <v>73.59</v>
      </c>
      <c r="L890" s="389" t="s">
        <v>21</v>
      </c>
      <c r="M890" s="30"/>
      <c r="N890" s="30"/>
      <c r="O890" s="287">
        <f t="shared" si="257"/>
        <v>0</v>
      </c>
      <c r="P890" s="287">
        <f t="shared" si="258"/>
        <v>0</v>
      </c>
      <c r="Q890" s="288"/>
      <c r="R890" s="243"/>
      <c r="S890" s="385" t="str">
        <f t="shared" si="253"/>
        <v/>
      </c>
    </row>
    <row r="891" spans="2:19" ht="13.5" hidden="1" thickBot="1">
      <c r="B891" s="609">
        <v>816</v>
      </c>
      <c r="C891" s="610" t="s">
        <v>489</v>
      </c>
      <c r="D891" s="611" t="s">
        <v>677</v>
      </c>
      <c r="E891" s="602"/>
      <c r="F891" s="603"/>
      <c r="G891" s="604"/>
      <c r="H891" s="605"/>
      <c r="I891" s="675">
        <v>28.78</v>
      </c>
      <c r="J891" s="675">
        <f t="shared" si="260"/>
        <v>28.78</v>
      </c>
      <c r="K891" s="606">
        <f t="shared" si="256"/>
        <v>34.92</v>
      </c>
      <c r="L891" s="389" t="s">
        <v>21</v>
      </c>
      <c r="M891" s="30"/>
      <c r="N891" s="30"/>
      <c r="O891" s="287">
        <f t="shared" si="257"/>
        <v>0</v>
      </c>
      <c r="P891" s="287">
        <f t="shared" si="258"/>
        <v>0</v>
      </c>
      <c r="Q891" s="288"/>
      <c r="R891" s="243"/>
      <c r="S891" s="385" t="str">
        <f t="shared" si="253"/>
        <v/>
      </c>
    </row>
    <row r="892" spans="2:19" ht="13.5" hidden="1" thickBot="1">
      <c r="B892" s="609">
        <v>817</v>
      </c>
      <c r="C892" s="610" t="s">
        <v>489</v>
      </c>
      <c r="D892" s="611" t="s">
        <v>678</v>
      </c>
      <c r="E892" s="602"/>
      <c r="F892" s="603"/>
      <c r="G892" s="604"/>
      <c r="H892" s="605"/>
      <c r="I892" s="675">
        <v>41.46</v>
      </c>
      <c r="J892" s="675">
        <f t="shared" si="260"/>
        <v>41.46</v>
      </c>
      <c r="K892" s="606">
        <f t="shared" si="256"/>
        <v>50.31</v>
      </c>
      <c r="L892" s="389" t="s">
        <v>21</v>
      </c>
      <c r="M892" s="30"/>
      <c r="N892" s="30"/>
      <c r="O892" s="287">
        <f t="shared" si="257"/>
        <v>0</v>
      </c>
      <c r="P892" s="287">
        <f t="shared" si="258"/>
        <v>0</v>
      </c>
      <c r="Q892" s="288"/>
      <c r="R892" s="243"/>
      <c r="S892" s="385" t="str">
        <f t="shared" ref="S892:S955" si="261">IF(R892="x","x",IF(R892="y","x",IF(R892="xy","x",IF(P892&gt;0,"x",""))))</f>
        <v/>
      </c>
    </row>
    <row r="893" spans="2:19" ht="13.5" hidden="1" thickBot="1">
      <c r="B893" s="609">
        <v>818</v>
      </c>
      <c r="C893" s="610" t="s">
        <v>489</v>
      </c>
      <c r="D893" s="611" t="s">
        <v>679</v>
      </c>
      <c r="E893" s="602"/>
      <c r="F893" s="603"/>
      <c r="G893" s="604"/>
      <c r="H893" s="605"/>
      <c r="I893" s="675">
        <v>15.42</v>
      </c>
      <c r="J893" s="675">
        <f t="shared" si="260"/>
        <v>15.42</v>
      </c>
      <c r="K893" s="606">
        <f t="shared" si="256"/>
        <v>18.71</v>
      </c>
      <c r="L893" s="389" t="s">
        <v>21</v>
      </c>
      <c r="M893" s="30"/>
      <c r="N893" s="30"/>
      <c r="O893" s="287">
        <f t="shared" si="257"/>
        <v>0</v>
      </c>
      <c r="P893" s="287">
        <f t="shared" si="258"/>
        <v>0</v>
      </c>
      <c r="Q893" s="288"/>
      <c r="R893" s="243"/>
      <c r="S893" s="385" t="str">
        <f t="shared" si="261"/>
        <v/>
      </c>
    </row>
    <row r="894" spans="2:19" ht="13.5" hidden="1" thickBot="1">
      <c r="B894" s="609">
        <v>819</v>
      </c>
      <c r="C894" s="610" t="s">
        <v>489</v>
      </c>
      <c r="D894" s="611" t="s">
        <v>680</v>
      </c>
      <c r="E894" s="602"/>
      <c r="F894" s="603"/>
      <c r="G894" s="604"/>
      <c r="H894" s="605"/>
      <c r="I894" s="675">
        <v>23.3</v>
      </c>
      <c r="J894" s="675">
        <f t="shared" si="260"/>
        <v>23.3</v>
      </c>
      <c r="K894" s="606">
        <f t="shared" si="256"/>
        <v>28.27</v>
      </c>
      <c r="L894" s="389" t="s">
        <v>19</v>
      </c>
      <c r="M894" s="30"/>
      <c r="N894" s="30"/>
      <c r="O894" s="287">
        <f t="shared" si="257"/>
        <v>0</v>
      </c>
      <c r="P894" s="287">
        <f t="shared" si="258"/>
        <v>0</v>
      </c>
      <c r="Q894" s="288"/>
      <c r="R894" s="243"/>
      <c r="S894" s="385" t="str">
        <f t="shared" si="261"/>
        <v/>
      </c>
    </row>
    <row r="895" spans="2:19" ht="13.5" hidden="1" thickBot="1">
      <c r="B895" s="609">
        <v>820</v>
      </c>
      <c r="C895" s="610" t="s">
        <v>489</v>
      </c>
      <c r="D895" s="611" t="s">
        <v>681</v>
      </c>
      <c r="E895" s="602"/>
      <c r="F895" s="603"/>
      <c r="G895" s="604"/>
      <c r="H895" s="605"/>
      <c r="I895" s="675">
        <v>14.08</v>
      </c>
      <c r="J895" s="675">
        <f t="shared" si="260"/>
        <v>14.08</v>
      </c>
      <c r="K895" s="606">
        <f t="shared" si="256"/>
        <v>17.09</v>
      </c>
      <c r="L895" s="389" t="s">
        <v>21</v>
      </c>
      <c r="M895" s="30"/>
      <c r="N895" s="30"/>
      <c r="O895" s="287">
        <f t="shared" si="257"/>
        <v>0</v>
      </c>
      <c r="P895" s="287">
        <f t="shared" si="258"/>
        <v>0</v>
      </c>
      <c r="Q895" s="288"/>
      <c r="R895" s="243"/>
      <c r="S895" s="385" t="str">
        <f t="shared" si="261"/>
        <v/>
      </c>
    </row>
    <row r="896" spans="2:19" ht="13.5" hidden="1" thickBot="1">
      <c r="B896" s="609">
        <v>821</v>
      </c>
      <c r="C896" s="610" t="s">
        <v>489</v>
      </c>
      <c r="D896" s="611" t="s">
        <v>682</v>
      </c>
      <c r="E896" s="602"/>
      <c r="F896" s="603"/>
      <c r="G896" s="604"/>
      <c r="H896" s="605"/>
      <c r="I896" s="675">
        <v>22.96</v>
      </c>
      <c r="J896" s="675">
        <f t="shared" si="260"/>
        <v>22.96</v>
      </c>
      <c r="K896" s="606">
        <f t="shared" si="256"/>
        <v>27.86</v>
      </c>
      <c r="L896" s="389" t="s">
        <v>21</v>
      </c>
      <c r="M896" s="30"/>
      <c r="N896" s="30"/>
      <c r="O896" s="287">
        <f t="shared" si="257"/>
        <v>0</v>
      </c>
      <c r="P896" s="287">
        <f t="shared" si="258"/>
        <v>0</v>
      </c>
      <c r="Q896" s="288"/>
      <c r="R896" s="243"/>
      <c r="S896" s="385" t="str">
        <f t="shared" si="261"/>
        <v/>
      </c>
    </row>
    <row r="897" spans="2:19" ht="13.5" hidden="1" thickBot="1">
      <c r="B897" s="609">
        <v>871</v>
      </c>
      <c r="C897" s="610" t="s">
        <v>489</v>
      </c>
      <c r="D897" s="611" t="s">
        <v>683</v>
      </c>
      <c r="E897" s="602"/>
      <c r="F897" s="603"/>
      <c r="G897" s="604"/>
      <c r="H897" s="605"/>
      <c r="I897" s="675">
        <v>11.31</v>
      </c>
      <c r="J897" s="675">
        <f t="shared" si="260"/>
        <v>11.31</v>
      </c>
      <c r="K897" s="606">
        <f t="shared" si="256"/>
        <v>13.72</v>
      </c>
      <c r="L897" s="389" t="s">
        <v>21</v>
      </c>
      <c r="M897" s="30"/>
      <c r="N897" s="30"/>
      <c r="O897" s="287">
        <f t="shared" si="257"/>
        <v>0</v>
      </c>
      <c r="P897" s="287">
        <f t="shared" si="258"/>
        <v>0</v>
      </c>
      <c r="Q897" s="288"/>
      <c r="R897" s="243"/>
      <c r="S897" s="385" t="str">
        <f t="shared" si="261"/>
        <v/>
      </c>
    </row>
    <row r="898" spans="2:19" ht="13.5" hidden="1" thickBot="1">
      <c r="B898" s="609" t="s">
        <v>671</v>
      </c>
      <c r="C898" s="610" t="s">
        <v>489</v>
      </c>
      <c r="D898" s="611" t="s">
        <v>684</v>
      </c>
      <c r="E898" s="602"/>
      <c r="F898" s="603"/>
      <c r="G898" s="604"/>
      <c r="H898" s="605"/>
      <c r="I898" s="675">
        <v>4.45</v>
      </c>
      <c r="J898" s="675">
        <f t="shared" si="260"/>
        <v>4.45</v>
      </c>
      <c r="K898" s="606">
        <f t="shared" si="256"/>
        <v>5.4</v>
      </c>
      <c r="L898" s="389" t="s">
        <v>21</v>
      </c>
      <c r="M898" s="30"/>
      <c r="N898" s="30"/>
      <c r="O898" s="287">
        <f t="shared" si="257"/>
        <v>0</v>
      </c>
      <c r="P898" s="287">
        <f t="shared" si="258"/>
        <v>0</v>
      </c>
      <c r="Q898" s="288"/>
      <c r="R898" s="243"/>
      <c r="S898" s="385" t="str">
        <f t="shared" si="261"/>
        <v/>
      </c>
    </row>
    <row r="899" spans="2:19" ht="13.5" hidden="1" thickBot="1">
      <c r="B899" s="609">
        <v>834</v>
      </c>
      <c r="C899" s="610" t="s">
        <v>489</v>
      </c>
      <c r="D899" s="611" t="s">
        <v>702</v>
      </c>
      <c r="E899" s="602"/>
      <c r="F899" s="603"/>
      <c r="G899" s="604"/>
      <c r="H899" s="605"/>
      <c r="I899" s="675">
        <v>11.99</v>
      </c>
      <c r="J899" s="675">
        <f t="shared" si="260"/>
        <v>11.99</v>
      </c>
      <c r="K899" s="606">
        <f t="shared" si="256"/>
        <v>14.55</v>
      </c>
      <c r="L899" s="389" t="s">
        <v>21</v>
      </c>
      <c r="M899" s="30"/>
      <c r="N899" s="30"/>
      <c r="O899" s="287">
        <f t="shared" si="257"/>
        <v>0</v>
      </c>
      <c r="P899" s="287">
        <f t="shared" si="258"/>
        <v>0</v>
      </c>
      <c r="Q899" s="288"/>
      <c r="R899" s="243"/>
      <c r="S899" s="385" t="str">
        <f t="shared" si="261"/>
        <v/>
      </c>
    </row>
    <row r="900" spans="2:19" ht="13.5" hidden="1" thickBot="1">
      <c r="B900" s="609" t="s">
        <v>699</v>
      </c>
      <c r="C900" s="610" t="s">
        <v>489</v>
      </c>
      <c r="D900" s="611" t="s">
        <v>733</v>
      </c>
      <c r="E900" s="602"/>
      <c r="F900" s="603"/>
      <c r="G900" s="604"/>
      <c r="H900" s="605"/>
      <c r="I900" s="675">
        <v>4.8</v>
      </c>
      <c r="J900" s="675">
        <f t="shared" si="260"/>
        <v>4.8</v>
      </c>
      <c r="K900" s="606">
        <f t="shared" si="256"/>
        <v>5.82</v>
      </c>
      <c r="L900" s="389" t="s">
        <v>21</v>
      </c>
      <c r="M900" s="30"/>
      <c r="N900" s="30"/>
      <c r="O900" s="287">
        <f t="shared" si="257"/>
        <v>0</v>
      </c>
      <c r="P900" s="287">
        <f t="shared" si="258"/>
        <v>0</v>
      </c>
      <c r="Q900" s="288"/>
      <c r="R900" s="243"/>
      <c r="S900" s="385" t="str">
        <f t="shared" si="261"/>
        <v/>
      </c>
    </row>
    <row r="901" spans="2:19" ht="13.5" hidden="1" thickBot="1">
      <c r="B901" s="609">
        <v>835</v>
      </c>
      <c r="C901" s="610" t="s">
        <v>489</v>
      </c>
      <c r="D901" s="611" t="s">
        <v>703</v>
      </c>
      <c r="E901" s="602"/>
      <c r="F901" s="603"/>
      <c r="G901" s="604"/>
      <c r="H901" s="605"/>
      <c r="I901" s="675">
        <v>43.85</v>
      </c>
      <c r="J901" s="675">
        <f t="shared" si="260"/>
        <v>43.85</v>
      </c>
      <c r="K901" s="606">
        <f t="shared" si="256"/>
        <v>53.21</v>
      </c>
      <c r="L901" s="389" t="s">
        <v>21</v>
      </c>
      <c r="M901" s="30"/>
      <c r="N901" s="30"/>
      <c r="O901" s="287">
        <f t="shared" si="257"/>
        <v>0</v>
      </c>
      <c r="P901" s="287">
        <f t="shared" si="258"/>
        <v>0</v>
      </c>
      <c r="Q901" s="288"/>
      <c r="R901" s="243"/>
      <c r="S901" s="385" t="str">
        <f t="shared" si="261"/>
        <v/>
      </c>
    </row>
    <row r="902" spans="2:19" ht="13.5" hidden="1" thickBot="1">
      <c r="B902" s="609" t="s">
        <v>707</v>
      </c>
      <c r="C902" s="610" t="s">
        <v>489</v>
      </c>
      <c r="D902" s="611" t="s">
        <v>704</v>
      </c>
      <c r="E902" s="602"/>
      <c r="F902" s="603"/>
      <c r="G902" s="604"/>
      <c r="H902" s="605"/>
      <c r="I902" s="675">
        <v>17.47</v>
      </c>
      <c r="J902" s="675">
        <f t="shared" si="260"/>
        <v>17.47</v>
      </c>
      <c r="K902" s="606">
        <f t="shared" si="256"/>
        <v>21.2</v>
      </c>
      <c r="L902" s="389" t="s">
        <v>21</v>
      </c>
      <c r="M902" s="30"/>
      <c r="N902" s="30"/>
      <c r="O902" s="287">
        <f t="shared" si="257"/>
        <v>0</v>
      </c>
      <c r="P902" s="287">
        <f t="shared" si="258"/>
        <v>0</v>
      </c>
      <c r="Q902" s="288"/>
      <c r="R902" s="243"/>
      <c r="S902" s="385" t="str">
        <f t="shared" si="261"/>
        <v/>
      </c>
    </row>
    <row r="903" spans="2:19" ht="26.25" hidden="1" thickBot="1">
      <c r="B903" s="609">
        <v>836</v>
      </c>
      <c r="C903" s="610" t="s">
        <v>489</v>
      </c>
      <c r="D903" s="611" t="s">
        <v>705</v>
      </c>
      <c r="E903" s="602"/>
      <c r="F903" s="603"/>
      <c r="G903" s="604"/>
      <c r="H903" s="605"/>
      <c r="I903" s="675">
        <v>114.78</v>
      </c>
      <c r="J903" s="675">
        <f t="shared" si="260"/>
        <v>114.78</v>
      </c>
      <c r="K903" s="606">
        <f t="shared" si="256"/>
        <v>139.29</v>
      </c>
      <c r="L903" s="389" t="s">
        <v>21</v>
      </c>
      <c r="M903" s="30"/>
      <c r="N903" s="30"/>
      <c r="O903" s="287">
        <f t="shared" si="257"/>
        <v>0</v>
      </c>
      <c r="P903" s="287">
        <f t="shared" si="258"/>
        <v>0</v>
      </c>
      <c r="Q903" s="288"/>
      <c r="R903" s="243"/>
      <c r="S903" s="385" t="str">
        <f t="shared" si="261"/>
        <v/>
      </c>
    </row>
    <row r="904" spans="2:19" ht="13.5" hidden="1" thickBot="1">
      <c r="B904" s="609" t="s">
        <v>700</v>
      </c>
      <c r="C904" s="610" t="s">
        <v>489</v>
      </c>
      <c r="D904" s="611" t="s">
        <v>732</v>
      </c>
      <c r="E904" s="602"/>
      <c r="F904" s="603"/>
      <c r="G904" s="604"/>
      <c r="H904" s="605"/>
      <c r="I904" s="675">
        <v>57.56</v>
      </c>
      <c r="J904" s="675">
        <f t="shared" si="260"/>
        <v>57.56</v>
      </c>
      <c r="K904" s="606">
        <f t="shared" si="256"/>
        <v>69.849999999999994</v>
      </c>
      <c r="L904" s="389" t="s">
        <v>21</v>
      </c>
      <c r="M904" s="30"/>
      <c r="N904" s="30"/>
      <c r="O904" s="287">
        <f t="shared" si="257"/>
        <v>0</v>
      </c>
      <c r="P904" s="287">
        <f t="shared" si="258"/>
        <v>0</v>
      </c>
      <c r="Q904" s="288"/>
      <c r="R904" s="243"/>
      <c r="S904" s="385" t="str">
        <f t="shared" si="261"/>
        <v/>
      </c>
    </row>
    <row r="905" spans="2:19" ht="13.5" hidden="1" thickBot="1">
      <c r="B905" s="609">
        <v>837</v>
      </c>
      <c r="C905" s="610" t="s">
        <v>489</v>
      </c>
      <c r="D905" s="611" t="s">
        <v>706</v>
      </c>
      <c r="E905" s="602"/>
      <c r="F905" s="603"/>
      <c r="G905" s="604"/>
      <c r="H905" s="605"/>
      <c r="I905" s="675">
        <v>20.9</v>
      </c>
      <c r="J905" s="675">
        <f t="shared" si="260"/>
        <v>20.9</v>
      </c>
      <c r="K905" s="606">
        <f t="shared" si="256"/>
        <v>25.36</v>
      </c>
      <c r="L905" s="389" t="s">
        <v>21</v>
      </c>
      <c r="M905" s="30"/>
      <c r="N905" s="30"/>
      <c r="O905" s="287">
        <f t="shared" si="257"/>
        <v>0</v>
      </c>
      <c r="P905" s="287">
        <f t="shared" si="258"/>
        <v>0</v>
      </c>
      <c r="Q905" s="288"/>
      <c r="R905" s="243"/>
      <c r="S905" s="385" t="str">
        <f t="shared" si="261"/>
        <v/>
      </c>
    </row>
    <row r="906" spans="2:19" ht="13.5" hidden="1" thickBot="1">
      <c r="B906" s="609">
        <v>838</v>
      </c>
      <c r="C906" s="610" t="s">
        <v>489</v>
      </c>
      <c r="D906" s="611" t="s">
        <v>716</v>
      </c>
      <c r="E906" s="602"/>
      <c r="F906" s="603"/>
      <c r="G906" s="604"/>
      <c r="H906" s="605"/>
      <c r="I906" s="675">
        <v>53.11</v>
      </c>
      <c r="J906" s="675">
        <f t="shared" si="260"/>
        <v>53.11</v>
      </c>
      <c r="K906" s="606">
        <f t="shared" si="256"/>
        <v>64.45</v>
      </c>
      <c r="L906" s="389" t="s">
        <v>21</v>
      </c>
      <c r="M906" s="30"/>
      <c r="N906" s="30"/>
      <c r="O906" s="287">
        <f t="shared" si="257"/>
        <v>0</v>
      </c>
      <c r="P906" s="287">
        <f t="shared" si="258"/>
        <v>0</v>
      </c>
      <c r="Q906" s="288"/>
      <c r="R906" s="243"/>
      <c r="S906" s="385" t="str">
        <f t="shared" si="261"/>
        <v/>
      </c>
    </row>
    <row r="907" spans="2:19" ht="13.5" hidden="1" thickBot="1">
      <c r="B907" s="609" t="s">
        <v>708</v>
      </c>
      <c r="C907" s="610" t="s">
        <v>489</v>
      </c>
      <c r="D907" s="611" t="s">
        <v>717</v>
      </c>
      <c r="E907" s="602"/>
      <c r="F907" s="603"/>
      <c r="G907" s="604"/>
      <c r="H907" s="605"/>
      <c r="I907" s="675">
        <v>21.24</v>
      </c>
      <c r="J907" s="675">
        <f t="shared" si="260"/>
        <v>21.24</v>
      </c>
      <c r="K907" s="606">
        <f t="shared" si="256"/>
        <v>25.77</v>
      </c>
      <c r="L907" s="389" t="s">
        <v>21</v>
      </c>
      <c r="M907" s="30"/>
      <c r="N907" s="30"/>
      <c r="O907" s="287">
        <f t="shared" si="257"/>
        <v>0</v>
      </c>
      <c r="P907" s="287">
        <f t="shared" si="258"/>
        <v>0</v>
      </c>
      <c r="Q907" s="288"/>
      <c r="R907" s="243"/>
      <c r="S907" s="385" t="str">
        <f t="shared" si="261"/>
        <v/>
      </c>
    </row>
    <row r="908" spans="2:19" ht="13.5" hidden="1" thickBot="1">
      <c r="B908" s="609">
        <v>839</v>
      </c>
      <c r="C908" s="610" t="s">
        <v>489</v>
      </c>
      <c r="D908" s="611" t="s">
        <v>718</v>
      </c>
      <c r="E908" s="602"/>
      <c r="F908" s="603"/>
      <c r="G908" s="604"/>
      <c r="H908" s="605"/>
      <c r="I908" s="675">
        <v>171.99</v>
      </c>
      <c r="J908" s="675">
        <f t="shared" si="260"/>
        <v>171.99</v>
      </c>
      <c r="K908" s="606">
        <f t="shared" si="256"/>
        <v>208.71</v>
      </c>
      <c r="L908" s="389" t="s">
        <v>21</v>
      </c>
      <c r="M908" s="30"/>
      <c r="N908" s="30"/>
      <c r="O908" s="287">
        <f t="shared" si="257"/>
        <v>0</v>
      </c>
      <c r="P908" s="287">
        <f t="shared" si="258"/>
        <v>0</v>
      </c>
      <c r="Q908" s="288"/>
      <c r="R908" s="243"/>
      <c r="S908" s="385" t="str">
        <f t="shared" si="261"/>
        <v/>
      </c>
    </row>
    <row r="909" spans="2:19" ht="13.5" hidden="1" thickBot="1">
      <c r="B909" s="609" t="s">
        <v>709</v>
      </c>
      <c r="C909" s="610" t="s">
        <v>489</v>
      </c>
      <c r="D909" s="611" t="s">
        <v>719</v>
      </c>
      <c r="E909" s="602"/>
      <c r="F909" s="603"/>
      <c r="G909" s="604"/>
      <c r="H909" s="605"/>
      <c r="I909" s="675">
        <v>120.26</v>
      </c>
      <c r="J909" s="675">
        <f t="shared" si="260"/>
        <v>120.26</v>
      </c>
      <c r="K909" s="606">
        <f t="shared" si="256"/>
        <v>145.94</v>
      </c>
      <c r="L909" s="389" t="s">
        <v>21</v>
      </c>
      <c r="M909" s="30"/>
      <c r="N909" s="30"/>
      <c r="O909" s="287">
        <f t="shared" si="257"/>
        <v>0</v>
      </c>
      <c r="P909" s="287">
        <f t="shared" si="258"/>
        <v>0</v>
      </c>
      <c r="Q909" s="288"/>
      <c r="R909" s="243"/>
      <c r="S909" s="385" t="str">
        <f t="shared" si="261"/>
        <v/>
      </c>
    </row>
    <row r="910" spans="2:19" ht="13.5" hidden="1" thickBot="1">
      <c r="B910" s="609">
        <v>840</v>
      </c>
      <c r="C910" s="610" t="s">
        <v>489</v>
      </c>
      <c r="D910" s="611" t="s">
        <v>720</v>
      </c>
      <c r="E910" s="602"/>
      <c r="F910" s="603"/>
      <c r="G910" s="604"/>
      <c r="H910" s="605"/>
      <c r="I910" s="675">
        <v>402.57</v>
      </c>
      <c r="J910" s="675">
        <f t="shared" si="260"/>
        <v>402.57</v>
      </c>
      <c r="K910" s="606">
        <f t="shared" si="256"/>
        <v>488.52</v>
      </c>
      <c r="L910" s="389" t="s">
        <v>21</v>
      </c>
      <c r="M910" s="30"/>
      <c r="N910" s="30"/>
      <c r="O910" s="287">
        <f t="shared" si="257"/>
        <v>0</v>
      </c>
      <c r="P910" s="287">
        <f t="shared" si="258"/>
        <v>0</v>
      </c>
      <c r="Q910" s="288"/>
      <c r="R910" s="243"/>
      <c r="S910" s="385" t="str">
        <f t="shared" si="261"/>
        <v/>
      </c>
    </row>
    <row r="911" spans="2:19" ht="13.5" hidden="1" thickBot="1">
      <c r="B911" s="609" t="s">
        <v>710</v>
      </c>
      <c r="C911" s="610" t="s">
        <v>489</v>
      </c>
      <c r="D911" s="611" t="s">
        <v>737</v>
      </c>
      <c r="E911" s="602"/>
      <c r="F911" s="603"/>
      <c r="G911" s="604"/>
      <c r="H911" s="605"/>
      <c r="I911" s="675">
        <v>161.03</v>
      </c>
      <c r="J911" s="675">
        <f t="shared" si="260"/>
        <v>161.03</v>
      </c>
      <c r="K911" s="606">
        <f t="shared" si="256"/>
        <v>195.41</v>
      </c>
      <c r="L911" s="389" t="s">
        <v>21</v>
      </c>
      <c r="M911" s="30"/>
      <c r="N911" s="30"/>
      <c r="O911" s="287">
        <f t="shared" si="257"/>
        <v>0</v>
      </c>
      <c r="P911" s="287">
        <f t="shared" si="258"/>
        <v>0</v>
      </c>
      <c r="Q911" s="288"/>
      <c r="R911" s="243"/>
      <c r="S911" s="385" t="str">
        <f t="shared" si="261"/>
        <v/>
      </c>
    </row>
    <row r="912" spans="2:19" ht="13.5" hidden="1" thickBot="1">
      <c r="B912" s="609">
        <v>841</v>
      </c>
      <c r="C912" s="610" t="s">
        <v>489</v>
      </c>
      <c r="D912" s="611" t="s">
        <v>721</v>
      </c>
      <c r="E912" s="602"/>
      <c r="F912" s="603"/>
      <c r="G912" s="604"/>
      <c r="H912" s="605"/>
      <c r="I912" s="675">
        <v>191.86</v>
      </c>
      <c r="J912" s="675">
        <f t="shared" ref="J912:J917" si="262">IF(ISBLANK(I912),"",SUM(H912:I912))</f>
        <v>191.86</v>
      </c>
      <c r="K912" s="606">
        <f t="shared" si="256"/>
        <v>232.82</v>
      </c>
      <c r="L912" s="389" t="s">
        <v>21</v>
      </c>
      <c r="M912" s="30"/>
      <c r="N912" s="30"/>
      <c r="O912" s="287">
        <f t="shared" si="257"/>
        <v>0</v>
      </c>
      <c r="P912" s="287">
        <f t="shared" si="258"/>
        <v>0</v>
      </c>
      <c r="Q912" s="288"/>
      <c r="R912" s="243"/>
      <c r="S912" s="385" t="str">
        <f t="shared" si="261"/>
        <v/>
      </c>
    </row>
    <row r="913" spans="2:19" ht="13.5" hidden="1" thickBot="1">
      <c r="B913" s="609" t="s">
        <v>711</v>
      </c>
      <c r="C913" s="610" t="s">
        <v>489</v>
      </c>
      <c r="D913" s="611" t="s">
        <v>731</v>
      </c>
      <c r="E913" s="602"/>
      <c r="F913" s="603"/>
      <c r="G913" s="604"/>
      <c r="H913" s="605"/>
      <c r="I913" s="675">
        <v>76.75</v>
      </c>
      <c r="J913" s="675">
        <f t="shared" si="262"/>
        <v>76.75</v>
      </c>
      <c r="K913" s="606">
        <f t="shared" si="256"/>
        <v>93.14</v>
      </c>
      <c r="L913" s="389" t="s">
        <v>21</v>
      </c>
      <c r="M913" s="30"/>
      <c r="N913" s="30"/>
      <c r="O913" s="287">
        <f t="shared" si="257"/>
        <v>0</v>
      </c>
      <c r="P913" s="287">
        <f t="shared" si="258"/>
        <v>0</v>
      </c>
      <c r="Q913" s="288"/>
      <c r="R913" s="243"/>
      <c r="S913" s="385" t="str">
        <f t="shared" si="261"/>
        <v/>
      </c>
    </row>
    <row r="914" spans="2:19" ht="13.5" hidden="1" thickBot="1">
      <c r="B914" s="609">
        <v>842</v>
      </c>
      <c r="C914" s="610" t="s">
        <v>489</v>
      </c>
      <c r="D914" s="611" t="s">
        <v>722</v>
      </c>
      <c r="E914" s="602"/>
      <c r="F914" s="603"/>
      <c r="G914" s="604"/>
      <c r="H914" s="605"/>
      <c r="I914" s="675">
        <v>11.99</v>
      </c>
      <c r="J914" s="675">
        <f t="shared" si="262"/>
        <v>11.99</v>
      </c>
      <c r="K914" s="606">
        <f t="shared" ref="K914:K1168" si="263">IF(ISBLANK(I914),0,ROUND(J914*(1+$F$10)*(1+$F$11*E914),2))</f>
        <v>14.55</v>
      </c>
      <c r="L914" s="389" t="s">
        <v>21</v>
      </c>
      <c r="M914" s="30"/>
      <c r="N914" s="30"/>
      <c r="O914" s="287">
        <f t="shared" ref="O914:O1168" si="264">IF(ISBLANK(M914),0,ROUND(K914*M914,2))</f>
        <v>0</v>
      </c>
      <c r="P914" s="287">
        <f t="shared" ref="P914:P1168" si="265">IF(ISBLANK(N914),0,ROUND(M914*N914,2))</f>
        <v>0</v>
      </c>
      <c r="Q914" s="288"/>
      <c r="R914" s="243"/>
      <c r="S914" s="385" t="str">
        <f t="shared" si="261"/>
        <v/>
      </c>
    </row>
    <row r="915" spans="2:19" ht="13.5" hidden="1" thickBot="1">
      <c r="B915" s="609" t="s">
        <v>712</v>
      </c>
      <c r="C915" s="610" t="s">
        <v>489</v>
      </c>
      <c r="D915" s="611" t="s">
        <v>723</v>
      </c>
      <c r="E915" s="602"/>
      <c r="F915" s="603"/>
      <c r="G915" s="604"/>
      <c r="H915" s="605"/>
      <c r="I915" s="675">
        <v>4.8</v>
      </c>
      <c r="J915" s="675">
        <f t="shared" si="262"/>
        <v>4.8</v>
      </c>
      <c r="K915" s="606">
        <f t="shared" si="263"/>
        <v>5.82</v>
      </c>
      <c r="L915" s="389" t="s">
        <v>21</v>
      </c>
      <c r="M915" s="30"/>
      <c r="N915" s="30"/>
      <c r="O915" s="287">
        <f t="shared" si="264"/>
        <v>0</v>
      </c>
      <c r="P915" s="287">
        <f t="shared" si="265"/>
        <v>0</v>
      </c>
      <c r="Q915" s="288"/>
      <c r="R915" s="243"/>
      <c r="S915" s="385" t="str">
        <f t="shared" si="261"/>
        <v/>
      </c>
    </row>
    <row r="916" spans="2:19" ht="13.5" hidden="1" thickBot="1">
      <c r="B916" s="609">
        <v>843</v>
      </c>
      <c r="C916" s="610" t="s">
        <v>489</v>
      </c>
      <c r="D916" s="611" t="s">
        <v>724</v>
      </c>
      <c r="E916" s="602"/>
      <c r="F916" s="603"/>
      <c r="G916" s="604"/>
      <c r="H916" s="605"/>
      <c r="I916" s="675">
        <v>133.28</v>
      </c>
      <c r="J916" s="675">
        <f t="shared" si="262"/>
        <v>133.28</v>
      </c>
      <c r="K916" s="606">
        <f t="shared" si="263"/>
        <v>161.74</v>
      </c>
      <c r="L916" s="389" t="s">
        <v>21</v>
      </c>
      <c r="M916" s="30"/>
      <c r="N916" s="30"/>
      <c r="O916" s="287">
        <f t="shared" si="264"/>
        <v>0</v>
      </c>
      <c r="P916" s="287">
        <f t="shared" si="265"/>
        <v>0</v>
      </c>
      <c r="Q916" s="288"/>
      <c r="R916" s="243"/>
      <c r="S916" s="385" t="str">
        <f t="shared" si="261"/>
        <v/>
      </c>
    </row>
    <row r="917" spans="2:19" ht="26.25" hidden="1" thickBot="1">
      <c r="B917" s="609" t="s">
        <v>714</v>
      </c>
      <c r="C917" s="610" t="s">
        <v>489</v>
      </c>
      <c r="D917" s="611" t="s">
        <v>736</v>
      </c>
      <c r="E917" s="602"/>
      <c r="F917" s="603"/>
      <c r="G917" s="604"/>
      <c r="H917" s="605"/>
      <c r="I917" s="675">
        <v>53.45</v>
      </c>
      <c r="J917" s="675">
        <f t="shared" si="262"/>
        <v>53.45</v>
      </c>
      <c r="K917" s="606">
        <f t="shared" si="263"/>
        <v>64.86</v>
      </c>
      <c r="L917" s="389" t="s">
        <v>21</v>
      </c>
      <c r="M917" s="30"/>
      <c r="N917" s="30"/>
      <c r="O917" s="287">
        <f t="shared" si="264"/>
        <v>0</v>
      </c>
      <c r="P917" s="287">
        <f t="shared" si="265"/>
        <v>0</v>
      </c>
      <c r="Q917" s="288"/>
      <c r="R917" s="243"/>
      <c r="S917" s="385" t="str">
        <f t="shared" si="261"/>
        <v/>
      </c>
    </row>
    <row r="918" spans="2:19" ht="13.5" hidden="1" thickBot="1">
      <c r="B918" s="609">
        <v>844</v>
      </c>
      <c r="C918" s="610" t="s">
        <v>489</v>
      </c>
      <c r="D918" s="611" t="s">
        <v>725</v>
      </c>
      <c r="E918" s="602"/>
      <c r="F918" s="603"/>
      <c r="G918" s="604"/>
      <c r="H918" s="605"/>
      <c r="I918" s="675">
        <v>45.23</v>
      </c>
      <c r="J918" s="675">
        <f t="shared" ref="J918:J920" si="266">IF(ISBLANK(I918),"",SUM(H918:I918))</f>
        <v>45.23</v>
      </c>
      <c r="K918" s="606">
        <f t="shared" si="263"/>
        <v>54.89</v>
      </c>
      <c r="L918" s="389" t="s">
        <v>21</v>
      </c>
      <c r="M918" s="30"/>
      <c r="N918" s="30"/>
      <c r="O918" s="287">
        <f t="shared" si="264"/>
        <v>0</v>
      </c>
      <c r="P918" s="287">
        <f t="shared" si="265"/>
        <v>0</v>
      </c>
      <c r="Q918" s="288"/>
      <c r="R918" s="243"/>
      <c r="S918" s="385" t="str">
        <f t="shared" si="261"/>
        <v/>
      </c>
    </row>
    <row r="919" spans="2:19" ht="13.5" hidden="1" thickBot="1">
      <c r="B919" s="609">
        <v>845</v>
      </c>
      <c r="C919" s="610" t="s">
        <v>489</v>
      </c>
      <c r="D919" s="611" t="s">
        <v>726</v>
      </c>
      <c r="E919" s="602"/>
      <c r="F919" s="603"/>
      <c r="G919" s="604"/>
      <c r="H919" s="605"/>
      <c r="I919" s="675">
        <v>6.85</v>
      </c>
      <c r="J919" s="675">
        <f t="shared" si="266"/>
        <v>6.85</v>
      </c>
      <c r="K919" s="606">
        <f t="shared" si="263"/>
        <v>8.31</v>
      </c>
      <c r="L919" s="389" t="s">
        <v>21</v>
      </c>
      <c r="M919" s="30"/>
      <c r="N919" s="30"/>
      <c r="O919" s="287">
        <f t="shared" si="264"/>
        <v>0</v>
      </c>
      <c r="P919" s="287">
        <f t="shared" si="265"/>
        <v>0</v>
      </c>
      <c r="Q919" s="288"/>
      <c r="R919" s="243"/>
      <c r="S919" s="385" t="str">
        <f t="shared" si="261"/>
        <v/>
      </c>
    </row>
    <row r="920" spans="2:19" ht="13.5" hidden="1" thickBot="1">
      <c r="B920" s="609" t="s">
        <v>713</v>
      </c>
      <c r="C920" s="610" t="s">
        <v>489</v>
      </c>
      <c r="D920" s="611" t="s">
        <v>727</v>
      </c>
      <c r="E920" s="602"/>
      <c r="F920" s="603"/>
      <c r="G920" s="604"/>
      <c r="H920" s="605"/>
      <c r="I920" s="675">
        <v>2.74</v>
      </c>
      <c r="J920" s="675">
        <f t="shared" si="266"/>
        <v>2.74</v>
      </c>
      <c r="K920" s="606">
        <f t="shared" si="263"/>
        <v>3.32</v>
      </c>
      <c r="L920" s="389" t="s">
        <v>21</v>
      </c>
      <c r="M920" s="30"/>
      <c r="N920" s="30"/>
      <c r="O920" s="287">
        <f t="shared" si="264"/>
        <v>0</v>
      </c>
      <c r="P920" s="287">
        <f t="shared" si="265"/>
        <v>0</v>
      </c>
      <c r="Q920" s="288"/>
      <c r="R920" s="243"/>
      <c r="S920" s="385" t="str">
        <f t="shared" si="261"/>
        <v/>
      </c>
    </row>
    <row r="921" spans="2:19" ht="13.5" hidden="1" thickBot="1">
      <c r="B921" s="609">
        <v>846</v>
      </c>
      <c r="C921" s="610" t="s">
        <v>489</v>
      </c>
      <c r="D921" s="611" t="s">
        <v>728</v>
      </c>
      <c r="E921" s="602"/>
      <c r="F921" s="603"/>
      <c r="G921" s="604"/>
      <c r="H921" s="605"/>
      <c r="I921" s="675">
        <v>6.85</v>
      </c>
      <c r="J921" s="675">
        <f t="shared" ref="J921:J984" si="267">IF(ISBLANK(I921),"",SUM(H921:I921))</f>
        <v>6.85</v>
      </c>
      <c r="K921" s="606">
        <f t="shared" si="263"/>
        <v>8.31</v>
      </c>
      <c r="L921" s="389" t="s">
        <v>21</v>
      </c>
      <c r="M921" s="30"/>
      <c r="N921" s="30"/>
      <c r="O921" s="287">
        <f t="shared" si="264"/>
        <v>0</v>
      </c>
      <c r="P921" s="287">
        <f t="shared" si="265"/>
        <v>0</v>
      </c>
      <c r="Q921" s="288"/>
      <c r="R921" s="243"/>
      <c r="S921" s="385" t="str">
        <f t="shared" si="261"/>
        <v/>
      </c>
    </row>
    <row r="922" spans="2:19" ht="13.5" hidden="1" thickBot="1">
      <c r="B922" s="609">
        <v>859</v>
      </c>
      <c r="C922" s="610" t="s">
        <v>489</v>
      </c>
      <c r="D922" s="611" t="s">
        <v>729</v>
      </c>
      <c r="E922" s="602"/>
      <c r="F922" s="603"/>
      <c r="G922" s="604"/>
      <c r="H922" s="605"/>
      <c r="I922" s="675">
        <v>148.69999999999999</v>
      </c>
      <c r="J922" s="675">
        <f t="shared" si="267"/>
        <v>148.69999999999999</v>
      </c>
      <c r="K922" s="606">
        <f t="shared" si="263"/>
        <v>180.45</v>
      </c>
      <c r="L922" s="389" t="s">
        <v>21</v>
      </c>
      <c r="M922" s="30"/>
      <c r="N922" s="30"/>
      <c r="O922" s="287">
        <f t="shared" si="264"/>
        <v>0</v>
      </c>
      <c r="P922" s="287">
        <f t="shared" si="265"/>
        <v>0</v>
      </c>
      <c r="Q922" s="288"/>
      <c r="R922" s="243"/>
      <c r="S922" s="385" t="str">
        <f t="shared" si="261"/>
        <v/>
      </c>
    </row>
    <row r="923" spans="2:19" ht="13.5" hidden="1" thickBot="1">
      <c r="B923" s="609" t="s">
        <v>715</v>
      </c>
      <c r="C923" s="610" t="s">
        <v>489</v>
      </c>
      <c r="D923" s="611" t="s">
        <v>730</v>
      </c>
      <c r="E923" s="602"/>
      <c r="F923" s="603"/>
      <c r="G923" s="604"/>
      <c r="H923" s="605"/>
      <c r="I923" s="675">
        <v>59.62</v>
      </c>
      <c r="J923" s="675">
        <f t="shared" si="267"/>
        <v>59.62</v>
      </c>
      <c r="K923" s="606">
        <f t="shared" si="263"/>
        <v>72.349999999999994</v>
      </c>
      <c r="L923" s="389" t="s">
        <v>21</v>
      </c>
      <c r="M923" s="30"/>
      <c r="N923" s="30"/>
      <c r="O923" s="287">
        <f t="shared" si="264"/>
        <v>0</v>
      </c>
      <c r="P923" s="287">
        <f t="shared" si="265"/>
        <v>0</v>
      </c>
      <c r="Q923" s="288"/>
      <c r="R923" s="243"/>
      <c r="S923" s="385" t="str">
        <f t="shared" si="261"/>
        <v/>
      </c>
    </row>
    <row r="924" spans="2:19" ht="26.25" hidden="1" thickBot="1">
      <c r="B924" s="609">
        <v>102102</v>
      </c>
      <c r="C924" s="610" t="s">
        <v>843</v>
      </c>
      <c r="D924" s="611" t="s">
        <v>1056</v>
      </c>
      <c r="E924" s="602"/>
      <c r="F924" s="603"/>
      <c r="G924" s="604"/>
      <c r="H924" s="605"/>
      <c r="I924" s="675">
        <v>6301.76</v>
      </c>
      <c r="J924" s="675">
        <f t="shared" si="267"/>
        <v>6301.76</v>
      </c>
      <c r="K924" s="606">
        <f t="shared" si="263"/>
        <v>7647.19</v>
      </c>
      <c r="L924" s="389" t="s">
        <v>21</v>
      </c>
      <c r="M924" s="30"/>
      <c r="N924" s="30"/>
      <c r="O924" s="287">
        <f t="shared" si="264"/>
        <v>0</v>
      </c>
      <c r="P924" s="287">
        <f t="shared" si="265"/>
        <v>0</v>
      </c>
      <c r="Q924" s="288"/>
      <c r="R924" s="243"/>
      <c r="S924" s="385" t="str">
        <f t="shared" si="261"/>
        <v/>
      </c>
    </row>
    <row r="925" spans="2:19" ht="26.25" hidden="1" thickBot="1">
      <c r="B925" s="609">
        <v>102103</v>
      </c>
      <c r="C925" s="610" t="s">
        <v>843</v>
      </c>
      <c r="D925" s="611" t="s">
        <v>1057</v>
      </c>
      <c r="E925" s="602"/>
      <c r="F925" s="603"/>
      <c r="G925" s="604"/>
      <c r="H925" s="605"/>
      <c r="I925" s="675">
        <v>6999.86</v>
      </c>
      <c r="J925" s="675">
        <f t="shared" si="267"/>
        <v>6999.86</v>
      </c>
      <c r="K925" s="606">
        <f t="shared" si="263"/>
        <v>8494.33</v>
      </c>
      <c r="L925" s="389" t="s">
        <v>21</v>
      </c>
      <c r="M925" s="30"/>
      <c r="N925" s="30"/>
      <c r="O925" s="287">
        <f t="shared" si="264"/>
        <v>0</v>
      </c>
      <c r="P925" s="287">
        <f t="shared" si="265"/>
        <v>0</v>
      </c>
      <c r="Q925" s="288"/>
      <c r="R925" s="243"/>
      <c r="S925" s="385" t="str">
        <f t="shared" si="261"/>
        <v/>
      </c>
    </row>
    <row r="926" spans="2:19" ht="26.25" hidden="1" thickBot="1">
      <c r="B926" s="609">
        <v>102104</v>
      </c>
      <c r="C926" s="610" t="s">
        <v>843</v>
      </c>
      <c r="D926" s="611" t="s">
        <v>1058</v>
      </c>
      <c r="E926" s="602"/>
      <c r="F926" s="603"/>
      <c r="G926" s="604"/>
      <c r="H926" s="605"/>
      <c r="I926" s="675">
        <v>8943.86</v>
      </c>
      <c r="J926" s="675">
        <f t="shared" si="267"/>
        <v>8943.86</v>
      </c>
      <c r="K926" s="606">
        <f t="shared" si="263"/>
        <v>10853.37</v>
      </c>
      <c r="L926" s="389" t="s">
        <v>21</v>
      </c>
      <c r="M926" s="30"/>
      <c r="N926" s="30"/>
      <c r="O926" s="287">
        <f t="shared" si="264"/>
        <v>0</v>
      </c>
      <c r="P926" s="287">
        <f t="shared" si="265"/>
        <v>0</v>
      </c>
      <c r="Q926" s="288"/>
      <c r="R926" s="243"/>
      <c r="S926" s="385" t="str">
        <f t="shared" si="261"/>
        <v/>
      </c>
    </row>
    <row r="927" spans="2:19" ht="26.25" hidden="1" thickBot="1">
      <c r="B927" s="609">
        <v>102105</v>
      </c>
      <c r="C927" s="610" t="s">
        <v>843</v>
      </c>
      <c r="D927" s="611" t="s">
        <v>1059</v>
      </c>
      <c r="E927" s="602"/>
      <c r="F927" s="603"/>
      <c r="G927" s="604"/>
      <c r="H927" s="605"/>
      <c r="I927" s="675">
        <v>10963.56</v>
      </c>
      <c r="J927" s="675">
        <f t="shared" si="267"/>
        <v>10963.56</v>
      </c>
      <c r="K927" s="606">
        <f t="shared" si="263"/>
        <v>13304.28</v>
      </c>
      <c r="L927" s="389" t="s">
        <v>21</v>
      </c>
      <c r="M927" s="30"/>
      <c r="N927" s="30"/>
      <c r="O927" s="287">
        <f t="shared" si="264"/>
        <v>0</v>
      </c>
      <c r="P927" s="287">
        <f t="shared" si="265"/>
        <v>0</v>
      </c>
      <c r="Q927" s="288"/>
      <c r="R927" s="243"/>
      <c r="S927" s="385" t="str">
        <f t="shared" si="261"/>
        <v/>
      </c>
    </row>
    <row r="928" spans="2:19" ht="26.25" hidden="1" thickBot="1">
      <c r="B928" s="609">
        <v>102106</v>
      </c>
      <c r="C928" s="610" t="s">
        <v>843</v>
      </c>
      <c r="D928" s="611" t="s">
        <v>1060</v>
      </c>
      <c r="E928" s="602"/>
      <c r="F928" s="603"/>
      <c r="G928" s="604"/>
      <c r="H928" s="605"/>
      <c r="I928" s="675">
        <v>13717.16</v>
      </c>
      <c r="J928" s="675">
        <f t="shared" si="267"/>
        <v>13717.16</v>
      </c>
      <c r="K928" s="606">
        <f t="shared" si="263"/>
        <v>16645.77</v>
      </c>
      <c r="L928" s="389" t="s">
        <v>21</v>
      </c>
      <c r="M928" s="30"/>
      <c r="N928" s="30"/>
      <c r="O928" s="287">
        <f t="shared" si="264"/>
        <v>0</v>
      </c>
      <c r="P928" s="287">
        <f t="shared" si="265"/>
        <v>0</v>
      </c>
      <c r="Q928" s="288"/>
      <c r="R928" s="243"/>
      <c r="S928" s="385" t="str">
        <f t="shared" si="261"/>
        <v/>
      </c>
    </row>
    <row r="929" spans="2:19" ht="26.25" hidden="1" thickBot="1">
      <c r="B929" s="609">
        <v>102107</v>
      </c>
      <c r="C929" s="610" t="s">
        <v>843</v>
      </c>
      <c r="D929" s="611" t="s">
        <v>1061</v>
      </c>
      <c r="E929" s="602"/>
      <c r="F929" s="603"/>
      <c r="G929" s="604"/>
      <c r="H929" s="605"/>
      <c r="I929" s="675">
        <v>19090.14</v>
      </c>
      <c r="J929" s="675">
        <f t="shared" si="267"/>
        <v>19090.14</v>
      </c>
      <c r="K929" s="606">
        <f t="shared" si="263"/>
        <v>23165.88</v>
      </c>
      <c r="L929" s="389" t="s">
        <v>21</v>
      </c>
      <c r="M929" s="30"/>
      <c r="N929" s="30"/>
      <c r="O929" s="287">
        <f t="shared" si="264"/>
        <v>0</v>
      </c>
      <c r="P929" s="287">
        <f t="shared" si="265"/>
        <v>0</v>
      </c>
      <c r="Q929" s="288"/>
      <c r="R929" s="243"/>
      <c r="S929" s="385" t="str">
        <f t="shared" si="261"/>
        <v/>
      </c>
    </row>
    <row r="930" spans="2:19" ht="26.25" hidden="1" thickBot="1">
      <c r="B930" s="609">
        <v>102108</v>
      </c>
      <c r="C930" s="610" t="s">
        <v>843</v>
      </c>
      <c r="D930" s="611" t="s">
        <v>1062</v>
      </c>
      <c r="E930" s="602"/>
      <c r="F930" s="603"/>
      <c r="G930" s="604"/>
      <c r="H930" s="605"/>
      <c r="I930" s="675">
        <v>22209.8</v>
      </c>
      <c r="J930" s="675">
        <f t="shared" si="267"/>
        <v>22209.8</v>
      </c>
      <c r="K930" s="606">
        <f t="shared" si="263"/>
        <v>26951.59</v>
      </c>
      <c r="L930" s="389" t="s">
        <v>21</v>
      </c>
      <c r="M930" s="30"/>
      <c r="N930" s="30"/>
      <c r="O930" s="287">
        <f t="shared" si="264"/>
        <v>0</v>
      </c>
      <c r="P930" s="287">
        <f t="shared" si="265"/>
        <v>0</v>
      </c>
      <c r="Q930" s="288"/>
      <c r="R930" s="243"/>
      <c r="S930" s="385" t="str">
        <f t="shared" si="261"/>
        <v/>
      </c>
    </row>
    <row r="931" spans="2:19" ht="26.25" hidden="1" thickBot="1">
      <c r="B931" s="609">
        <v>102109</v>
      </c>
      <c r="C931" s="610" t="s">
        <v>843</v>
      </c>
      <c r="D931" s="611" t="s">
        <v>1063</v>
      </c>
      <c r="E931" s="602"/>
      <c r="F931" s="603"/>
      <c r="G931" s="604"/>
      <c r="H931" s="605"/>
      <c r="I931" s="675">
        <v>41.42</v>
      </c>
      <c r="J931" s="675">
        <f t="shared" si="267"/>
        <v>41.42</v>
      </c>
      <c r="K931" s="606">
        <f t="shared" si="263"/>
        <v>50.26</v>
      </c>
      <c r="L931" s="389" t="s">
        <v>21</v>
      </c>
      <c r="M931" s="30"/>
      <c r="N931" s="30"/>
      <c r="O931" s="287">
        <f t="shared" si="264"/>
        <v>0</v>
      </c>
      <c r="P931" s="287">
        <f t="shared" si="265"/>
        <v>0</v>
      </c>
      <c r="Q931" s="288"/>
      <c r="R931" s="243"/>
      <c r="S931" s="385" t="str">
        <f t="shared" si="261"/>
        <v/>
      </c>
    </row>
    <row r="932" spans="2:19" ht="26.25" hidden="1" thickBot="1">
      <c r="B932" s="609">
        <v>102110</v>
      </c>
      <c r="C932" s="610" t="s">
        <v>843</v>
      </c>
      <c r="D932" s="611" t="s">
        <v>1064</v>
      </c>
      <c r="E932" s="602"/>
      <c r="F932" s="603"/>
      <c r="G932" s="604"/>
      <c r="H932" s="605"/>
      <c r="I932" s="675">
        <v>113.58</v>
      </c>
      <c r="J932" s="675">
        <f t="shared" si="267"/>
        <v>113.58</v>
      </c>
      <c r="K932" s="606">
        <f t="shared" si="263"/>
        <v>137.83000000000001</v>
      </c>
      <c r="L932" s="389" t="s">
        <v>21</v>
      </c>
      <c r="M932" s="30"/>
      <c r="N932" s="30"/>
      <c r="O932" s="287">
        <f t="shared" si="264"/>
        <v>0</v>
      </c>
      <c r="P932" s="287">
        <f t="shared" si="265"/>
        <v>0</v>
      </c>
      <c r="Q932" s="288"/>
      <c r="R932" s="243"/>
      <c r="S932" s="385" t="str">
        <f t="shared" si="261"/>
        <v/>
      </c>
    </row>
    <row r="933" spans="2:19" ht="26.25" hidden="1" thickBot="1">
      <c r="B933" s="609">
        <v>100619</v>
      </c>
      <c r="C933" s="610" t="s">
        <v>843</v>
      </c>
      <c r="D933" s="611" t="s">
        <v>1065</v>
      </c>
      <c r="E933" s="602"/>
      <c r="F933" s="603"/>
      <c r="G933" s="604"/>
      <c r="H933" s="605"/>
      <c r="I933" s="675">
        <v>469.08</v>
      </c>
      <c r="J933" s="675">
        <f t="shared" si="267"/>
        <v>469.08</v>
      </c>
      <c r="K933" s="606">
        <f t="shared" si="263"/>
        <v>569.23</v>
      </c>
      <c r="L933" s="389" t="s">
        <v>21</v>
      </c>
      <c r="M933" s="30"/>
      <c r="N933" s="30"/>
      <c r="O933" s="287">
        <f t="shared" si="264"/>
        <v>0</v>
      </c>
      <c r="P933" s="287">
        <f t="shared" si="265"/>
        <v>0</v>
      </c>
      <c r="Q933" s="288"/>
      <c r="R933" s="243"/>
      <c r="S933" s="385" t="str">
        <f t="shared" si="261"/>
        <v/>
      </c>
    </row>
    <row r="934" spans="2:19" ht="26.25" hidden="1" thickBot="1">
      <c r="B934" s="609">
        <v>100620</v>
      </c>
      <c r="C934" s="610" t="s">
        <v>843</v>
      </c>
      <c r="D934" s="611" t="s">
        <v>1066</v>
      </c>
      <c r="E934" s="602"/>
      <c r="F934" s="603"/>
      <c r="G934" s="604"/>
      <c r="H934" s="605"/>
      <c r="I934" s="675">
        <v>2722.77</v>
      </c>
      <c r="J934" s="675">
        <f t="shared" si="267"/>
        <v>2722.77</v>
      </c>
      <c r="K934" s="606">
        <f t="shared" si="263"/>
        <v>3304.08</v>
      </c>
      <c r="L934" s="389" t="s">
        <v>21</v>
      </c>
      <c r="M934" s="30"/>
      <c r="N934" s="30"/>
      <c r="O934" s="287">
        <f t="shared" si="264"/>
        <v>0</v>
      </c>
      <c r="P934" s="287">
        <f t="shared" si="265"/>
        <v>0</v>
      </c>
      <c r="Q934" s="288"/>
      <c r="R934" s="243"/>
      <c r="S934" s="385" t="str">
        <f t="shared" si="261"/>
        <v/>
      </c>
    </row>
    <row r="935" spans="2:19" ht="26.25" hidden="1" thickBot="1">
      <c r="B935" s="609">
        <v>100621</v>
      </c>
      <c r="C935" s="610" t="s">
        <v>843</v>
      </c>
      <c r="D935" s="611" t="s">
        <v>1067</v>
      </c>
      <c r="E935" s="602"/>
      <c r="F935" s="603"/>
      <c r="G935" s="604"/>
      <c r="H935" s="605"/>
      <c r="I935" s="675">
        <v>3070.32</v>
      </c>
      <c r="J935" s="675">
        <f t="shared" si="267"/>
        <v>3070.32</v>
      </c>
      <c r="K935" s="606">
        <f t="shared" si="263"/>
        <v>3725.83</v>
      </c>
      <c r="L935" s="389" t="s">
        <v>21</v>
      </c>
      <c r="M935" s="30"/>
      <c r="N935" s="30"/>
      <c r="O935" s="287">
        <f t="shared" si="264"/>
        <v>0</v>
      </c>
      <c r="P935" s="287">
        <f t="shared" si="265"/>
        <v>0</v>
      </c>
      <c r="Q935" s="288"/>
      <c r="R935" s="243"/>
      <c r="S935" s="385" t="str">
        <f t="shared" si="261"/>
        <v/>
      </c>
    </row>
    <row r="936" spans="2:19" ht="26.25" hidden="1" thickBot="1">
      <c r="B936" s="609">
        <v>100622</v>
      </c>
      <c r="C936" s="610" t="s">
        <v>843</v>
      </c>
      <c r="D936" s="611" t="s">
        <v>1068</v>
      </c>
      <c r="E936" s="602"/>
      <c r="F936" s="603"/>
      <c r="G936" s="604"/>
      <c r="H936" s="605"/>
      <c r="I936" s="675">
        <v>1965.69</v>
      </c>
      <c r="J936" s="675">
        <f t="shared" si="267"/>
        <v>1965.69</v>
      </c>
      <c r="K936" s="606">
        <f t="shared" si="263"/>
        <v>2385.36</v>
      </c>
      <c r="L936" s="389" t="s">
        <v>21</v>
      </c>
      <c r="M936" s="30"/>
      <c r="N936" s="30"/>
      <c r="O936" s="287">
        <f t="shared" si="264"/>
        <v>0</v>
      </c>
      <c r="P936" s="287">
        <f t="shared" si="265"/>
        <v>0</v>
      </c>
      <c r="Q936" s="288"/>
      <c r="R936" s="243"/>
      <c r="S936" s="385" t="str">
        <f t="shared" si="261"/>
        <v/>
      </c>
    </row>
    <row r="937" spans="2:19" ht="26.25" hidden="1" thickBot="1">
      <c r="B937" s="609">
        <v>100623</v>
      </c>
      <c r="C937" s="610" t="s">
        <v>843</v>
      </c>
      <c r="D937" s="611" t="s">
        <v>1069</v>
      </c>
      <c r="E937" s="602"/>
      <c r="F937" s="603"/>
      <c r="G937" s="604"/>
      <c r="H937" s="605"/>
      <c r="I937" s="675">
        <v>2092.02</v>
      </c>
      <c r="J937" s="675">
        <f t="shared" si="267"/>
        <v>2092.02</v>
      </c>
      <c r="K937" s="606">
        <f t="shared" si="263"/>
        <v>2538.67</v>
      </c>
      <c r="L937" s="389" t="s">
        <v>21</v>
      </c>
      <c r="M937" s="30"/>
      <c r="N937" s="30"/>
      <c r="O937" s="287">
        <f t="shared" si="264"/>
        <v>0</v>
      </c>
      <c r="P937" s="287">
        <f t="shared" si="265"/>
        <v>0</v>
      </c>
      <c r="Q937" s="288"/>
      <c r="R937" s="243"/>
      <c r="S937" s="385" t="str">
        <f t="shared" si="261"/>
        <v/>
      </c>
    </row>
    <row r="938" spans="2:19" ht="39" hidden="1" thickBot="1">
      <c r="B938" s="609">
        <v>100578</v>
      </c>
      <c r="C938" s="610" t="s">
        <v>843</v>
      </c>
      <c r="D938" s="611" t="s">
        <v>1070</v>
      </c>
      <c r="E938" s="602"/>
      <c r="F938" s="603"/>
      <c r="G938" s="604"/>
      <c r="H938" s="605"/>
      <c r="I938" s="675">
        <v>378.43</v>
      </c>
      <c r="J938" s="675">
        <f t="shared" si="267"/>
        <v>378.43</v>
      </c>
      <c r="K938" s="606">
        <f t="shared" si="263"/>
        <v>459.22</v>
      </c>
      <c r="L938" s="389" t="s">
        <v>21</v>
      </c>
      <c r="M938" s="30"/>
      <c r="N938" s="30"/>
      <c r="O938" s="287">
        <f t="shared" si="264"/>
        <v>0</v>
      </c>
      <c r="P938" s="287">
        <f t="shared" si="265"/>
        <v>0</v>
      </c>
      <c r="Q938" s="288"/>
      <c r="R938" s="243"/>
      <c r="S938" s="385" t="str">
        <f t="shared" si="261"/>
        <v/>
      </c>
    </row>
    <row r="939" spans="2:19" ht="39" hidden="1" thickBot="1">
      <c r="B939" s="609">
        <v>100579</v>
      </c>
      <c r="C939" s="610" t="s">
        <v>843</v>
      </c>
      <c r="D939" s="611" t="s">
        <v>1071</v>
      </c>
      <c r="E939" s="602"/>
      <c r="F939" s="603"/>
      <c r="G939" s="604"/>
      <c r="H939" s="605"/>
      <c r="I939" s="675">
        <v>414.83</v>
      </c>
      <c r="J939" s="675">
        <f t="shared" si="267"/>
        <v>414.83</v>
      </c>
      <c r="K939" s="606">
        <f t="shared" si="263"/>
        <v>503.4</v>
      </c>
      <c r="L939" s="389" t="s">
        <v>21</v>
      </c>
      <c r="M939" s="30"/>
      <c r="N939" s="30"/>
      <c r="O939" s="287">
        <f t="shared" si="264"/>
        <v>0</v>
      </c>
      <c r="P939" s="287">
        <f t="shared" si="265"/>
        <v>0</v>
      </c>
      <c r="Q939" s="288"/>
      <c r="R939" s="243"/>
      <c r="S939" s="385" t="str">
        <f t="shared" si="261"/>
        <v/>
      </c>
    </row>
    <row r="940" spans="2:19" ht="26.25" hidden="1" thickBot="1">
      <c r="B940" s="609">
        <v>100580</v>
      </c>
      <c r="C940" s="610" t="s">
        <v>843</v>
      </c>
      <c r="D940" s="611" t="s">
        <v>1072</v>
      </c>
      <c r="E940" s="602"/>
      <c r="F940" s="603"/>
      <c r="G940" s="604"/>
      <c r="H940" s="605"/>
      <c r="I940" s="675">
        <v>457.92</v>
      </c>
      <c r="J940" s="675">
        <f t="shared" si="267"/>
        <v>457.92</v>
      </c>
      <c r="K940" s="606">
        <f t="shared" si="263"/>
        <v>555.69000000000005</v>
      </c>
      <c r="L940" s="389" t="s">
        <v>21</v>
      </c>
      <c r="M940" s="30"/>
      <c r="N940" s="30"/>
      <c r="O940" s="287">
        <f t="shared" si="264"/>
        <v>0</v>
      </c>
      <c r="P940" s="287">
        <f t="shared" si="265"/>
        <v>0</v>
      </c>
      <c r="Q940" s="288"/>
      <c r="R940" s="243"/>
      <c r="S940" s="385" t="str">
        <f t="shared" si="261"/>
        <v/>
      </c>
    </row>
    <row r="941" spans="2:19" ht="39" hidden="1" thickBot="1">
      <c r="B941" s="609">
        <v>100581</v>
      </c>
      <c r="C941" s="610" t="s">
        <v>843</v>
      </c>
      <c r="D941" s="611" t="s">
        <v>1073</v>
      </c>
      <c r="E941" s="602"/>
      <c r="F941" s="603"/>
      <c r="G941" s="604"/>
      <c r="H941" s="605"/>
      <c r="I941" s="675">
        <v>432.87</v>
      </c>
      <c r="J941" s="675">
        <f t="shared" si="267"/>
        <v>432.87</v>
      </c>
      <c r="K941" s="606">
        <f t="shared" si="263"/>
        <v>525.29</v>
      </c>
      <c r="L941" s="389" t="s">
        <v>21</v>
      </c>
      <c r="M941" s="30"/>
      <c r="N941" s="30"/>
      <c r="O941" s="287">
        <f t="shared" si="264"/>
        <v>0</v>
      </c>
      <c r="P941" s="287">
        <f t="shared" si="265"/>
        <v>0</v>
      </c>
      <c r="Q941" s="288"/>
      <c r="R941" s="243"/>
      <c r="S941" s="385" t="str">
        <f t="shared" si="261"/>
        <v/>
      </c>
    </row>
    <row r="942" spans="2:19" ht="39" hidden="1" thickBot="1">
      <c r="B942" s="609">
        <v>100582</v>
      </c>
      <c r="C942" s="610" t="s">
        <v>843</v>
      </c>
      <c r="D942" s="611" t="s">
        <v>1074</v>
      </c>
      <c r="E942" s="602"/>
      <c r="F942" s="603"/>
      <c r="G942" s="604"/>
      <c r="H942" s="605"/>
      <c r="I942" s="675">
        <v>510.66</v>
      </c>
      <c r="J942" s="675">
        <f t="shared" si="267"/>
        <v>510.66</v>
      </c>
      <c r="K942" s="606">
        <f t="shared" si="263"/>
        <v>619.69000000000005</v>
      </c>
      <c r="L942" s="389" t="s">
        <v>21</v>
      </c>
      <c r="M942" s="30"/>
      <c r="N942" s="30"/>
      <c r="O942" s="287">
        <f t="shared" si="264"/>
        <v>0</v>
      </c>
      <c r="P942" s="287">
        <f t="shared" si="265"/>
        <v>0</v>
      </c>
      <c r="Q942" s="288"/>
      <c r="R942" s="243"/>
      <c r="S942" s="385" t="str">
        <f t="shared" si="261"/>
        <v/>
      </c>
    </row>
    <row r="943" spans="2:19" ht="39" hidden="1" thickBot="1">
      <c r="B943" s="609">
        <v>100583</v>
      </c>
      <c r="C943" s="610" t="s">
        <v>843</v>
      </c>
      <c r="D943" s="611" t="s">
        <v>1075</v>
      </c>
      <c r="E943" s="602"/>
      <c r="F943" s="603"/>
      <c r="G943" s="604"/>
      <c r="H943" s="605"/>
      <c r="I943" s="675">
        <v>452.28</v>
      </c>
      <c r="J943" s="675">
        <f t="shared" si="267"/>
        <v>452.28</v>
      </c>
      <c r="K943" s="606">
        <f t="shared" si="263"/>
        <v>548.84</v>
      </c>
      <c r="L943" s="389" t="s">
        <v>21</v>
      </c>
      <c r="M943" s="30"/>
      <c r="N943" s="30"/>
      <c r="O943" s="287">
        <f t="shared" si="264"/>
        <v>0</v>
      </c>
      <c r="P943" s="287">
        <f t="shared" si="265"/>
        <v>0</v>
      </c>
      <c r="Q943" s="288"/>
      <c r="R943" s="243"/>
      <c r="S943" s="385" t="str">
        <f t="shared" si="261"/>
        <v/>
      </c>
    </row>
    <row r="944" spans="2:19" ht="26.25" hidden="1" thickBot="1">
      <c r="B944" s="609">
        <v>100584</v>
      </c>
      <c r="C944" s="610" t="s">
        <v>843</v>
      </c>
      <c r="D944" s="611" t="s">
        <v>1076</v>
      </c>
      <c r="E944" s="602"/>
      <c r="F944" s="603"/>
      <c r="G944" s="604"/>
      <c r="H944" s="605"/>
      <c r="I944" s="675">
        <v>498.97</v>
      </c>
      <c r="J944" s="675">
        <f t="shared" si="267"/>
        <v>498.97</v>
      </c>
      <c r="K944" s="606">
        <f t="shared" si="263"/>
        <v>605.5</v>
      </c>
      <c r="L944" s="389" t="s">
        <v>21</v>
      </c>
      <c r="M944" s="30"/>
      <c r="N944" s="30"/>
      <c r="O944" s="287">
        <f t="shared" si="264"/>
        <v>0</v>
      </c>
      <c r="P944" s="287">
        <f t="shared" si="265"/>
        <v>0</v>
      </c>
      <c r="Q944" s="288"/>
      <c r="R944" s="243"/>
      <c r="S944" s="385" t="str">
        <f t="shared" si="261"/>
        <v/>
      </c>
    </row>
    <row r="945" spans="2:19" ht="39" hidden="1" thickBot="1">
      <c r="B945" s="609">
        <v>100585</v>
      </c>
      <c r="C945" s="610" t="s">
        <v>843</v>
      </c>
      <c r="D945" s="611" t="s">
        <v>1077</v>
      </c>
      <c r="E945" s="602"/>
      <c r="F945" s="603"/>
      <c r="G945" s="604"/>
      <c r="H945" s="605"/>
      <c r="I945" s="675">
        <v>489.96</v>
      </c>
      <c r="J945" s="675">
        <f t="shared" si="267"/>
        <v>489.96</v>
      </c>
      <c r="K945" s="606">
        <f t="shared" si="263"/>
        <v>594.57000000000005</v>
      </c>
      <c r="L945" s="389" t="s">
        <v>21</v>
      </c>
      <c r="M945" s="30"/>
      <c r="N945" s="30"/>
      <c r="O945" s="287">
        <f t="shared" si="264"/>
        <v>0</v>
      </c>
      <c r="P945" s="287">
        <f t="shared" si="265"/>
        <v>0</v>
      </c>
      <c r="Q945" s="288"/>
      <c r="R945" s="243"/>
      <c r="S945" s="385" t="str">
        <f t="shared" si="261"/>
        <v/>
      </c>
    </row>
    <row r="946" spans="2:19" ht="26.25" hidden="1" thickBot="1">
      <c r="B946" s="609">
        <v>100586</v>
      </c>
      <c r="C946" s="610" t="s">
        <v>843</v>
      </c>
      <c r="D946" s="611" t="s">
        <v>1078</v>
      </c>
      <c r="E946" s="602"/>
      <c r="F946" s="603"/>
      <c r="G946" s="604"/>
      <c r="H946" s="605"/>
      <c r="I946" s="675">
        <v>564.27</v>
      </c>
      <c r="J946" s="675">
        <f t="shared" si="267"/>
        <v>564.27</v>
      </c>
      <c r="K946" s="606">
        <f t="shared" si="263"/>
        <v>684.74</v>
      </c>
      <c r="L946" s="389" t="s">
        <v>21</v>
      </c>
      <c r="M946" s="30"/>
      <c r="N946" s="30"/>
      <c r="O946" s="287">
        <f t="shared" si="264"/>
        <v>0</v>
      </c>
      <c r="P946" s="287">
        <f t="shared" si="265"/>
        <v>0</v>
      </c>
      <c r="Q946" s="288"/>
      <c r="R946" s="243"/>
      <c r="S946" s="385" t="str">
        <f t="shared" si="261"/>
        <v/>
      </c>
    </row>
    <row r="947" spans="2:19" ht="39" hidden="1" thickBot="1">
      <c r="B947" s="609">
        <v>100587</v>
      </c>
      <c r="C947" s="610" t="s">
        <v>843</v>
      </c>
      <c r="D947" s="611" t="s">
        <v>1079</v>
      </c>
      <c r="E947" s="602"/>
      <c r="F947" s="603"/>
      <c r="G947" s="604"/>
      <c r="H947" s="605"/>
      <c r="I947" s="675">
        <v>529.12</v>
      </c>
      <c r="J947" s="675">
        <f t="shared" si="267"/>
        <v>529.12</v>
      </c>
      <c r="K947" s="606">
        <f t="shared" si="263"/>
        <v>642.09</v>
      </c>
      <c r="L947" s="389" t="s">
        <v>21</v>
      </c>
      <c r="M947" s="30"/>
      <c r="N947" s="30"/>
      <c r="O947" s="287">
        <f t="shared" si="264"/>
        <v>0</v>
      </c>
      <c r="P947" s="287">
        <f t="shared" si="265"/>
        <v>0</v>
      </c>
      <c r="Q947" s="288"/>
      <c r="R947" s="243"/>
      <c r="S947" s="385" t="str">
        <f t="shared" si="261"/>
        <v/>
      </c>
    </row>
    <row r="948" spans="2:19" ht="26.25" hidden="1" thickBot="1">
      <c r="B948" s="609">
        <v>100588</v>
      </c>
      <c r="C948" s="610" t="s">
        <v>843</v>
      </c>
      <c r="D948" s="611" t="s">
        <v>1080</v>
      </c>
      <c r="E948" s="602"/>
      <c r="F948" s="603"/>
      <c r="G948" s="604"/>
      <c r="H948" s="605"/>
      <c r="I948" s="675">
        <v>586.87</v>
      </c>
      <c r="J948" s="675">
        <f t="shared" si="267"/>
        <v>586.87</v>
      </c>
      <c r="K948" s="606">
        <f t="shared" si="263"/>
        <v>712.17</v>
      </c>
      <c r="L948" s="389" t="s">
        <v>21</v>
      </c>
      <c r="M948" s="30"/>
      <c r="N948" s="30"/>
      <c r="O948" s="287">
        <f t="shared" si="264"/>
        <v>0</v>
      </c>
      <c r="P948" s="287">
        <f t="shared" si="265"/>
        <v>0</v>
      </c>
      <c r="Q948" s="288"/>
      <c r="R948" s="243"/>
      <c r="S948" s="385" t="str">
        <f t="shared" si="261"/>
        <v/>
      </c>
    </row>
    <row r="949" spans="2:19" ht="39" hidden="1" thickBot="1">
      <c r="B949" s="609">
        <v>100589</v>
      </c>
      <c r="C949" s="610" t="s">
        <v>843</v>
      </c>
      <c r="D949" s="611" t="s">
        <v>1081</v>
      </c>
      <c r="E949" s="602"/>
      <c r="F949" s="603"/>
      <c r="G949" s="604"/>
      <c r="H949" s="605"/>
      <c r="I949" s="675">
        <v>589.05999999999995</v>
      </c>
      <c r="J949" s="675">
        <f t="shared" si="267"/>
        <v>589.05999999999995</v>
      </c>
      <c r="K949" s="606">
        <f t="shared" si="263"/>
        <v>714.82</v>
      </c>
      <c r="L949" s="389" t="s">
        <v>21</v>
      </c>
      <c r="M949" s="30"/>
      <c r="N949" s="30"/>
      <c r="O949" s="287">
        <f t="shared" si="264"/>
        <v>0</v>
      </c>
      <c r="P949" s="287">
        <f t="shared" si="265"/>
        <v>0</v>
      </c>
      <c r="Q949" s="288"/>
      <c r="R949" s="243"/>
      <c r="S949" s="385" t="str">
        <f t="shared" si="261"/>
        <v/>
      </c>
    </row>
    <row r="950" spans="2:19" ht="39" hidden="1" thickBot="1">
      <c r="B950" s="609">
        <v>100590</v>
      </c>
      <c r="C950" s="610" t="s">
        <v>843</v>
      </c>
      <c r="D950" s="611" t="s">
        <v>1082</v>
      </c>
      <c r="E950" s="602"/>
      <c r="F950" s="603"/>
      <c r="G950" s="604"/>
      <c r="H950" s="605"/>
      <c r="I950" s="675">
        <v>646.37</v>
      </c>
      <c r="J950" s="675">
        <f t="shared" si="267"/>
        <v>646.37</v>
      </c>
      <c r="K950" s="606">
        <f t="shared" si="263"/>
        <v>784.37</v>
      </c>
      <c r="L950" s="389" t="s">
        <v>21</v>
      </c>
      <c r="M950" s="30"/>
      <c r="N950" s="30"/>
      <c r="O950" s="287">
        <f t="shared" si="264"/>
        <v>0</v>
      </c>
      <c r="P950" s="287">
        <f t="shared" si="265"/>
        <v>0</v>
      </c>
      <c r="Q950" s="288"/>
      <c r="R950" s="243"/>
      <c r="S950" s="385" t="str">
        <f t="shared" si="261"/>
        <v/>
      </c>
    </row>
    <row r="951" spans="2:19" ht="39" hidden="1" thickBot="1">
      <c r="B951" s="609">
        <v>100591</v>
      </c>
      <c r="C951" s="610" t="s">
        <v>843</v>
      </c>
      <c r="D951" s="611" t="s">
        <v>1083</v>
      </c>
      <c r="E951" s="602"/>
      <c r="F951" s="603"/>
      <c r="G951" s="604"/>
      <c r="H951" s="605"/>
      <c r="I951" s="675">
        <v>583.29999999999995</v>
      </c>
      <c r="J951" s="675">
        <f t="shared" si="267"/>
        <v>583.29999999999995</v>
      </c>
      <c r="K951" s="606">
        <f t="shared" si="263"/>
        <v>707.83</v>
      </c>
      <c r="L951" s="389" t="s">
        <v>21</v>
      </c>
      <c r="M951" s="30"/>
      <c r="N951" s="30"/>
      <c r="O951" s="287">
        <f t="shared" si="264"/>
        <v>0</v>
      </c>
      <c r="P951" s="287">
        <f t="shared" si="265"/>
        <v>0</v>
      </c>
      <c r="Q951" s="288"/>
      <c r="R951" s="243"/>
      <c r="S951" s="385" t="str">
        <f t="shared" si="261"/>
        <v/>
      </c>
    </row>
    <row r="952" spans="2:19" ht="26.25" hidden="1" thickBot="1">
      <c r="B952" s="609">
        <v>100592</v>
      </c>
      <c r="C952" s="610" t="s">
        <v>843</v>
      </c>
      <c r="D952" s="611" t="s">
        <v>1084</v>
      </c>
      <c r="E952" s="602"/>
      <c r="F952" s="603"/>
      <c r="G952" s="604"/>
      <c r="H952" s="605"/>
      <c r="I952" s="675">
        <v>630.74</v>
      </c>
      <c r="J952" s="675">
        <f t="shared" si="267"/>
        <v>630.74</v>
      </c>
      <c r="K952" s="606">
        <f t="shared" si="263"/>
        <v>765.4</v>
      </c>
      <c r="L952" s="389" t="s">
        <v>21</v>
      </c>
      <c r="M952" s="30"/>
      <c r="N952" s="30"/>
      <c r="O952" s="287">
        <f t="shared" si="264"/>
        <v>0</v>
      </c>
      <c r="P952" s="287">
        <f t="shared" si="265"/>
        <v>0</v>
      </c>
      <c r="Q952" s="288"/>
      <c r="R952" s="243"/>
      <c r="S952" s="385" t="str">
        <f t="shared" si="261"/>
        <v/>
      </c>
    </row>
    <row r="953" spans="2:19" ht="39" hidden="1" thickBot="1">
      <c r="B953" s="609">
        <v>100593</v>
      </c>
      <c r="C953" s="610" t="s">
        <v>843</v>
      </c>
      <c r="D953" s="611" t="s">
        <v>1085</v>
      </c>
      <c r="E953" s="602"/>
      <c r="F953" s="603"/>
      <c r="G953" s="604"/>
      <c r="H953" s="605"/>
      <c r="I953" s="675">
        <v>625.03</v>
      </c>
      <c r="J953" s="675">
        <f t="shared" si="267"/>
        <v>625.03</v>
      </c>
      <c r="K953" s="606">
        <f t="shared" si="263"/>
        <v>758.47</v>
      </c>
      <c r="L953" s="389" t="s">
        <v>21</v>
      </c>
      <c r="M953" s="30"/>
      <c r="N953" s="30"/>
      <c r="O953" s="287">
        <f t="shared" si="264"/>
        <v>0</v>
      </c>
      <c r="P953" s="287">
        <f t="shared" si="265"/>
        <v>0</v>
      </c>
      <c r="Q953" s="288"/>
      <c r="R953" s="243"/>
      <c r="S953" s="385" t="str">
        <f t="shared" si="261"/>
        <v/>
      </c>
    </row>
    <row r="954" spans="2:19" ht="26.25" hidden="1" thickBot="1">
      <c r="B954" s="609">
        <v>100594</v>
      </c>
      <c r="C954" s="610" t="s">
        <v>843</v>
      </c>
      <c r="D954" s="611" t="s">
        <v>1086</v>
      </c>
      <c r="E954" s="602"/>
      <c r="F954" s="603"/>
      <c r="G954" s="604"/>
      <c r="H954" s="605"/>
      <c r="I954" s="675">
        <v>705.27</v>
      </c>
      <c r="J954" s="675">
        <f t="shared" si="267"/>
        <v>705.27</v>
      </c>
      <c r="K954" s="606">
        <f t="shared" si="263"/>
        <v>855.85</v>
      </c>
      <c r="L954" s="389" t="s">
        <v>21</v>
      </c>
      <c r="M954" s="30"/>
      <c r="N954" s="30"/>
      <c r="O954" s="287">
        <f t="shared" si="264"/>
        <v>0</v>
      </c>
      <c r="P954" s="287">
        <f t="shared" si="265"/>
        <v>0</v>
      </c>
      <c r="Q954" s="288"/>
      <c r="R954" s="243"/>
      <c r="S954" s="385" t="str">
        <f t="shared" si="261"/>
        <v/>
      </c>
    </row>
    <row r="955" spans="2:19" ht="39" hidden="1" thickBot="1">
      <c r="B955" s="609">
        <v>100595</v>
      </c>
      <c r="C955" s="610" t="s">
        <v>843</v>
      </c>
      <c r="D955" s="611" t="s">
        <v>1087</v>
      </c>
      <c r="E955" s="602"/>
      <c r="F955" s="603"/>
      <c r="G955" s="604"/>
      <c r="H955" s="605"/>
      <c r="I955" s="675">
        <v>750.37</v>
      </c>
      <c r="J955" s="675">
        <f t="shared" si="267"/>
        <v>750.37</v>
      </c>
      <c r="K955" s="606">
        <f t="shared" si="263"/>
        <v>910.57</v>
      </c>
      <c r="L955" s="389" t="s">
        <v>21</v>
      </c>
      <c r="M955" s="30"/>
      <c r="N955" s="30"/>
      <c r="O955" s="287">
        <f t="shared" si="264"/>
        <v>0</v>
      </c>
      <c r="P955" s="287">
        <f t="shared" si="265"/>
        <v>0</v>
      </c>
      <c r="Q955" s="288"/>
      <c r="R955" s="243"/>
      <c r="S955" s="385" t="str">
        <f t="shared" si="261"/>
        <v/>
      </c>
    </row>
    <row r="956" spans="2:19" ht="26.25" hidden="1" thickBot="1">
      <c r="B956" s="609">
        <v>100596</v>
      </c>
      <c r="C956" s="610" t="s">
        <v>843</v>
      </c>
      <c r="D956" s="611" t="s">
        <v>1088</v>
      </c>
      <c r="E956" s="602"/>
      <c r="F956" s="603"/>
      <c r="G956" s="604"/>
      <c r="H956" s="605"/>
      <c r="I956" s="675">
        <v>858.42</v>
      </c>
      <c r="J956" s="675">
        <f t="shared" si="267"/>
        <v>858.42</v>
      </c>
      <c r="K956" s="606">
        <f t="shared" si="263"/>
        <v>1041.69</v>
      </c>
      <c r="L956" s="389" t="s">
        <v>21</v>
      </c>
      <c r="M956" s="30"/>
      <c r="N956" s="30"/>
      <c r="O956" s="287">
        <f t="shared" si="264"/>
        <v>0</v>
      </c>
      <c r="P956" s="287">
        <f t="shared" si="265"/>
        <v>0</v>
      </c>
      <c r="Q956" s="288"/>
      <c r="R956" s="243"/>
      <c r="S956" s="385" t="str">
        <f t="shared" ref="S956:S1019" si="268">IF(R956="x","x",IF(R956="y","x",IF(R956="xy","x",IF(P956&gt;0,"x",""))))</f>
        <v/>
      </c>
    </row>
    <row r="957" spans="2:19" ht="39" hidden="1" thickBot="1">
      <c r="B957" s="609">
        <v>100597</v>
      </c>
      <c r="C957" s="610" t="s">
        <v>843</v>
      </c>
      <c r="D957" s="611" t="s">
        <v>1089</v>
      </c>
      <c r="E957" s="602"/>
      <c r="F957" s="603"/>
      <c r="G957" s="604"/>
      <c r="H957" s="605"/>
      <c r="I957" s="675">
        <v>870.73</v>
      </c>
      <c r="J957" s="675">
        <f t="shared" si="267"/>
        <v>870.73</v>
      </c>
      <c r="K957" s="606">
        <f t="shared" si="263"/>
        <v>1056.6300000000001</v>
      </c>
      <c r="L957" s="389" t="s">
        <v>21</v>
      </c>
      <c r="M957" s="30"/>
      <c r="N957" s="30"/>
      <c r="O957" s="287">
        <f t="shared" si="264"/>
        <v>0</v>
      </c>
      <c r="P957" s="287">
        <f t="shared" si="265"/>
        <v>0</v>
      </c>
      <c r="Q957" s="288"/>
      <c r="R957" s="243"/>
      <c r="S957" s="385" t="str">
        <f t="shared" si="268"/>
        <v/>
      </c>
    </row>
    <row r="958" spans="2:19" ht="26.25" hidden="1" thickBot="1">
      <c r="B958" s="609">
        <v>100598</v>
      </c>
      <c r="C958" s="610" t="s">
        <v>843</v>
      </c>
      <c r="D958" s="611" t="s">
        <v>1090</v>
      </c>
      <c r="E958" s="602"/>
      <c r="F958" s="603"/>
      <c r="G958" s="604"/>
      <c r="H958" s="605"/>
      <c r="I958" s="675">
        <v>959.8</v>
      </c>
      <c r="J958" s="675">
        <f t="shared" si="267"/>
        <v>959.8</v>
      </c>
      <c r="K958" s="606">
        <f t="shared" si="263"/>
        <v>1164.72</v>
      </c>
      <c r="L958" s="389" t="s">
        <v>21</v>
      </c>
      <c r="M958" s="30"/>
      <c r="N958" s="30"/>
      <c r="O958" s="287">
        <f t="shared" si="264"/>
        <v>0</v>
      </c>
      <c r="P958" s="287">
        <f t="shared" si="265"/>
        <v>0</v>
      </c>
      <c r="Q958" s="288"/>
      <c r="R958" s="243"/>
      <c r="S958" s="385" t="str">
        <f t="shared" si="268"/>
        <v/>
      </c>
    </row>
    <row r="959" spans="2:19" ht="39" hidden="1" thickBot="1">
      <c r="B959" s="609">
        <v>100599</v>
      </c>
      <c r="C959" s="610" t="s">
        <v>843</v>
      </c>
      <c r="D959" s="611" t="s">
        <v>1091</v>
      </c>
      <c r="E959" s="602"/>
      <c r="F959" s="603"/>
      <c r="G959" s="604"/>
      <c r="H959" s="605"/>
      <c r="I959" s="675">
        <v>385.83</v>
      </c>
      <c r="J959" s="675">
        <f t="shared" si="267"/>
        <v>385.83</v>
      </c>
      <c r="K959" s="606">
        <f t="shared" si="263"/>
        <v>468.2</v>
      </c>
      <c r="L959" s="389" t="s">
        <v>21</v>
      </c>
      <c r="M959" s="30"/>
      <c r="N959" s="30"/>
      <c r="O959" s="287">
        <f t="shared" si="264"/>
        <v>0</v>
      </c>
      <c r="P959" s="287">
        <f t="shared" si="265"/>
        <v>0</v>
      </c>
      <c r="Q959" s="288"/>
      <c r="R959" s="243"/>
      <c r="S959" s="385" t="str">
        <f t="shared" si="268"/>
        <v/>
      </c>
    </row>
    <row r="960" spans="2:19" ht="39" hidden="1" thickBot="1">
      <c r="B960" s="609">
        <v>100600</v>
      </c>
      <c r="C960" s="610" t="s">
        <v>843</v>
      </c>
      <c r="D960" s="611" t="s">
        <v>1092</v>
      </c>
      <c r="E960" s="602"/>
      <c r="F960" s="603"/>
      <c r="G960" s="604"/>
      <c r="H960" s="605"/>
      <c r="I960" s="675">
        <v>460.26</v>
      </c>
      <c r="J960" s="675">
        <f t="shared" si="267"/>
        <v>460.26</v>
      </c>
      <c r="K960" s="606">
        <f t="shared" si="263"/>
        <v>558.53</v>
      </c>
      <c r="L960" s="389" t="s">
        <v>21</v>
      </c>
      <c r="M960" s="30"/>
      <c r="N960" s="30"/>
      <c r="O960" s="287">
        <f t="shared" si="264"/>
        <v>0</v>
      </c>
      <c r="P960" s="287">
        <f t="shared" si="265"/>
        <v>0</v>
      </c>
      <c r="Q960" s="288"/>
      <c r="R960" s="243"/>
      <c r="S960" s="385" t="str">
        <f t="shared" si="268"/>
        <v/>
      </c>
    </row>
    <row r="961" spans="2:19" ht="39" hidden="1" thickBot="1">
      <c r="B961" s="609">
        <v>100601</v>
      </c>
      <c r="C961" s="610" t="s">
        <v>843</v>
      </c>
      <c r="D961" s="611" t="s">
        <v>1093</v>
      </c>
      <c r="E961" s="602"/>
      <c r="F961" s="603"/>
      <c r="G961" s="604"/>
      <c r="H961" s="605"/>
      <c r="I961" s="675">
        <v>584.19000000000005</v>
      </c>
      <c r="J961" s="675">
        <f t="shared" si="267"/>
        <v>584.19000000000005</v>
      </c>
      <c r="K961" s="606">
        <f t="shared" si="263"/>
        <v>708.91</v>
      </c>
      <c r="L961" s="389" t="s">
        <v>21</v>
      </c>
      <c r="M961" s="30"/>
      <c r="N961" s="30"/>
      <c r="O961" s="287">
        <f t="shared" si="264"/>
        <v>0</v>
      </c>
      <c r="P961" s="287">
        <f t="shared" si="265"/>
        <v>0</v>
      </c>
      <c r="Q961" s="288"/>
      <c r="R961" s="243"/>
      <c r="S961" s="385" t="str">
        <f t="shared" si="268"/>
        <v/>
      </c>
    </row>
    <row r="962" spans="2:19" ht="39" hidden="1" thickBot="1">
      <c r="B962" s="609">
        <v>100602</v>
      </c>
      <c r="C962" s="610" t="s">
        <v>843</v>
      </c>
      <c r="D962" s="611" t="s">
        <v>1094</v>
      </c>
      <c r="E962" s="602"/>
      <c r="F962" s="603"/>
      <c r="G962" s="604"/>
      <c r="H962" s="605"/>
      <c r="I962" s="675">
        <v>738.82</v>
      </c>
      <c r="J962" s="675">
        <f t="shared" si="267"/>
        <v>738.82</v>
      </c>
      <c r="K962" s="606">
        <f t="shared" si="263"/>
        <v>896.56</v>
      </c>
      <c r="L962" s="389" t="s">
        <v>21</v>
      </c>
      <c r="M962" s="30"/>
      <c r="N962" s="30"/>
      <c r="O962" s="287">
        <f t="shared" si="264"/>
        <v>0</v>
      </c>
      <c r="P962" s="287">
        <f t="shared" si="265"/>
        <v>0</v>
      </c>
      <c r="Q962" s="288"/>
      <c r="R962" s="243"/>
      <c r="S962" s="385" t="str">
        <f t="shared" si="268"/>
        <v/>
      </c>
    </row>
    <row r="963" spans="2:19" ht="39" hidden="1" thickBot="1">
      <c r="B963" s="609">
        <v>100603</v>
      </c>
      <c r="C963" s="610" t="s">
        <v>843</v>
      </c>
      <c r="D963" s="611" t="s">
        <v>1095</v>
      </c>
      <c r="E963" s="602"/>
      <c r="F963" s="603"/>
      <c r="G963" s="604"/>
      <c r="H963" s="605"/>
      <c r="I963" s="675">
        <v>1137.1600000000001</v>
      </c>
      <c r="J963" s="675">
        <f t="shared" si="267"/>
        <v>1137.1600000000001</v>
      </c>
      <c r="K963" s="606">
        <f t="shared" si="263"/>
        <v>1379.94</v>
      </c>
      <c r="L963" s="389" t="s">
        <v>21</v>
      </c>
      <c r="M963" s="30"/>
      <c r="N963" s="30"/>
      <c r="O963" s="287">
        <f t="shared" si="264"/>
        <v>0</v>
      </c>
      <c r="P963" s="287">
        <f t="shared" si="265"/>
        <v>0</v>
      </c>
      <c r="Q963" s="288"/>
      <c r="R963" s="243"/>
      <c r="S963" s="385" t="str">
        <f t="shared" si="268"/>
        <v/>
      </c>
    </row>
    <row r="964" spans="2:19" ht="39" hidden="1" thickBot="1">
      <c r="B964" s="609">
        <v>100604</v>
      </c>
      <c r="C964" s="610" t="s">
        <v>843</v>
      </c>
      <c r="D964" s="611" t="s">
        <v>1096</v>
      </c>
      <c r="E964" s="602"/>
      <c r="F964" s="603"/>
      <c r="G964" s="604"/>
      <c r="H964" s="605"/>
      <c r="I964" s="675">
        <v>489.13</v>
      </c>
      <c r="J964" s="675">
        <f t="shared" si="267"/>
        <v>489.13</v>
      </c>
      <c r="K964" s="606">
        <f t="shared" si="263"/>
        <v>593.55999999999995</v>
      </c>
      <c r="L964" s="389" t="s">
        <v>21</v>
      </c>
      <c r="M964" s="30"/>
      <c r="N964" s="30"/>
      <c r="O964" s="287">
        <f t="shared" si="264"/>
        <v>0</v>
      </c>
      <c r="P964" s="287">
        <f t="shared" si="265"/>
        <v>0</v>
      </c>
      <c r="Q964" s="288"/>
      <c r="R964" s="243"/>
      <c r="S964" s="385" t="str">
        <f t="shared" si="268"/>
        <v/>
      </c>
    </row>
    <row r="965" spans="2:19" ht="39" hidden="1" thickBot="1">
      <c r="B965" s="609">
        <v>100605</v>
      </c>
      <c r="C965" s="610" t="s">
        <v>843</v>
      </c>
      <c r="D965" s="611" t="s">
        <v>1097</v>
      </c>
      <c r="E965" s="602"/>
      <c r="F965" s="603"/>
      <c r="G965" s="604"/>
      <c r="H965" s="605"/>
      <c r="I965" s="675">
        <v>775.7</v>
      </c>
      <c r="J965" s="675">
        <f t="shared" si="267"/>
        <v>775.7</v>
      </c>
      <c r="K965" s="606">
        <f t="shared" si="263"/>
        <v>941.31</v>
      </c>
      <c r="L965" s="389" t="s">
        <v>21</v>
      </c>
      <c r="M965" s="30"/>
      <c r="N965" s="30"/>
      <c r="O965" s="287">
        <f t="shared" si="264"/>
        <v>0</v>
      </c>
      <c r="P965" s="287">
        <f t="shared" si="265"/>
        <v>0</v>
      </c>
      <c r="Q965" s="288"/>
      <c r="R965" s="243"/>
      <c r="S965" s="385" t="str">
        <f t="shared" si="268"/>
        <v/>
      </c>
    </row>
    <row r="966" spans="2:19" ht="39" hidden="1" thickBot="1">
      <c r="B966" s="609">
        <v>100606</v>
      </c>
      <c r="C966" s="610" t="s">
        <v>843</v>
      </c>
      <c r="D966" s="611" t="s">
        <v>1098</v>
      </c>
      <c r="E966" s="602"/>
      <c r="F966" s="603"/>
      <c r="G966" s="604"/>
      <c r="H966" s="605"/>
      <c r="I966" s="675">
        <v>1184.51</v>
      </c>
      <c r="J966" s="675">
        <f t="shared" si="267"/>
        <v>1184.51</v>
      </c>
      <c r="K966" s="606">
        <f t="shared" si="263"/>
        <v>1437.4</v>
      </c>
      <c r="L966" s="389" t="s">
        <v>21</v>
      </c>
      <c r="M966" s="30"/>
      <c r="N966" s="30"/>
      <c r="O966" s="287">
        <f t="shared" si="264"/>
        <v>0</v>
      </c>
      <c r="P966" s="287">
        <f t="shared" si="265"/>
        <v>0</v>
      </c>
      <c r="Q966" s="288"/>
      <c r="R966" s="243"/>
      <c r="S966" s="385" t="str">
        <f t="shared" si="268"/>
        <v/>
      </c>
    </row>
    <row r="967" spans="2:19" ht="39" hidden="1" thickBot="1">
      <c r="B967" s="609">
        <v>100607</v>
      </c>
      <c r="C967" s="610" t="s">
        <v>843</v>
      </c>
      <c r="D967" s="611" t="s">
        <v>1099</v>
      </c>
      <c r="E967" s="602"/>
      <c r="F967" s="603"/>
      <c r="G967" s="604"/>
      <c r="H967" s="605"/>
      <c r="I967" s="675">
        <v>502.91</v>
      </c>
      <c r="J967" s="675">
        <f t="shared" si="267"/>
        <v>502.91</v>
      </c>
      <c r="K967" s="606">
        <f t="shared" si="263"/>
        <v>610.28</v>
      </c>
      <c r="L967" s="389" t="s">
        <v>21</v>
      </c>
      <c r="M967" s="30"/>
      <c r="N967" s="30"/>
      <c r="O967" s="287">
        <f t="shared" si="264"/>
        <v>0</v>
      </c>
      <c r="P967" s="287">
        <f t="shared" si="265"/>
        <v>0</v>
      </c>
      <c r="Q967" s="288"/>
      <c r="R967" s="243"/>
      <c r="S967" s="385" t="str">
        <f t="shared" si="268"/>
        <v/>
      </c>
    </row>
    <row r="968" spans="2:19" ht="39" hidden="1" thickBot="1">
      <c r="B968" s="609">
        <v>100608</v>
      </c>
      <c r="C968" s="610" t="s">
        <v>843</v>
      </c>
      <c r="D968" s="611" t="s">
        <v>1100</v>
      </c>
      <c r="E968" s="602"/>
      <c r="F968" s="603"/>
      <c r="G968" s="604"/>
      <c r="H968" s="605"/>
      <c r="I968" s="675">
        <v>793.93</v>
      </c>
      <c r="J968" s="675">
        <f t="shared" si="267"/>
        <v>793.93</v>
      </c>
      <c r="K968" s="606">
        <f t="shared" si="263"/>
        <v>963.43</v>
      </c>
      <c r="L968" s="389" t="s">
        <v>21</v>
      </c>
      <c r="M968" s="30"/>
      <c r="N968" s="30"/>
      <c r="O968" s="287">
        <f t="shared" si="264"/>
        <v>0</v>
      </c>
      <c r="P968" s="287">
        <f t="shared" si="265"/>
        <v>0</v>
      </c>
      <c r="Q968" s="288"/>
      <c r="R968" s="243"/>
      <c r="S968" s="385" t="str">
        <f t="shared" si="268"/>
        <v/>
      </c>
    </row>
    <row r="969" spans="2:19" ht="39" hidden="1" thickBot="1">
      <c r="B969" s="609">
        <v>100609</v>
      </c>
      <c r="C969" s="610" t="s">
        <v>843</v>
      </c>
      <c r="D969" s="611" t="s">
        <v>1101</v>
      </c>
      <c r="E969" s="602"/>
      <c r="F969" s="603"/>
      <c r="G969" s="604"/>
      <c r="H969" s="605"/>
      <c r="I969" s="675">
        <v>1209.8399999999999</v>
      </c>
      <c r="J969" s="675">
        <f t="shared" si="267"/>
        <v>1209.8399999999999</v>
      </c>
      <c r="K969" s="606">
        <f t="shared" si="263"/>
        <v>1468.14</v>
      </c>
      <c r="L969" s="389" t="s">
        <v>21</v>
      </c>
      <c r="M969" s="30"/>
      <c r="N969" s="30"/>
      <c r="O969" s="287">
        <f t="shared" si="264"/>
        <v>0</v>
      </c>
      <c r="P969" s="287">
        <f t="shared" si="265"/>
        <v>0</v>
      </c>
      <c r="Q969" s="288"/>
      <c r="R969" s="243"/>
      <c r="S969" s="385" t="str">
        <f t="shared" si="268"/>
        <v/>
      </c>
    </row>
    <row r="970" spans="2:19" ht="39" hidden="1" thickBot="1">
      <c r="B970" s="609">
        <v>100610</v>
      </c>
      <c r="C970" s="610" t="s">
        <v>843</v>
      </c>
      <c r="D970" s="611" t="s">
        <v>1102</v>
      </c>
      <c r="E970" s="602"/>
      <c r="F970" s="603"/>
      <c r="G970" s="604"/>
      <c r="H970" s="605"/>
      <c r="I970" s="675">
        <v>516.59</v>
      </c>
      <c r="J970" s="675">
        <f t="shared" si="267"/>
        <v>516.59</v>
      </c>
      <c r="K970" s="606">
        <f t="shared" si="263"/>
        <v>626.88</v>
      </c>
      <c r="L970" s="389" t="s">
        <v>21</v>
      </c>
      <c r="M970" s="30"/>
      <c r="N970" s="30"/>
      <c r="O970" s="287">
        <f t="shared" si="264"/>
        <v>0</v>
      </c>
      <c r="P970" s="287">
        <f t="shared" si="265"/>
        <v>0</v>
      </c>
      <c r="Q970" s="288"/>
      <c r="R970" s="243"/>
      <c r="S970" s="385" t="str">
        <f t="shared" si="268"/>
        <v/>
      </c>
    </row>
    <row r="971" spans="2:19" ht="39" hidden="1" thickBot="1">
      <c r="B971" s="609">
        <v>100611</v>
      </c>
      <c r="C971" s="610" t="s">
        <v>843</v>
      </c>
      <c r="D971" s="611" t="s">
        <v>1103</v>
      </c>
      <c r="E971" s="602"/>
      <c r="F971" s="603"/>
      <c r="G971" s="604"/>
      <c r="H971" s="605"/>
      <c r="I971" s="675">
        <v>647.64</v>
      </c>
      <c r="J971" s="675">
        <f t="shared" si="267"/>
        <v>647.64</v>
      </c>
      <c r="K971" s="606">
        <f t="shared" si="263"/>
        <v>785.91</v>
      </c>
      <c r="L971" s="389" t="s">
        <v>21</v>
      </c>
      <c r="M971" s="30"/>
      <c r="N971" s="30"/>
      <c r="O971" s="287">
        <f t="shared" si="264"/>
        <v>0</v>
      </c>
      <c r="P971" s="287">
        <f t="shared" si="265"/>
        <v>0</v>
      </c>
      <c r="Q971" s="288"/>
      <c r="R971" s="243"/>
      <c r="S971" s="385" t="str">
        <f t="shared" si="268"/>
        <v/>
      </c>
    </row>
    <row r="972" spans="2:19" ht="39" hidden="1" thickBot="1">
      <c r="B972" s="609">
        <v>100612</v>
      </c>
      <c r="C972" s="610" t="s">
        <v>843</v>
      </c>
      <c r="D972" s="611" t="s">
        <v>1104</v>
      </c>
      <c r="E972" s="602"/>
      <c r="F972" s="603"/>
      <c r="G972" s="604"/>
      <c r="H972" s="605"/>
      <c r="I972" s="675">
        <v>811.79</v>
      </c>
      <c r="J972" s="675">
        <f t="shared" si="267"/>
        <v>811.79</v>
      </c>
      <c r="K972" s="606">
        <f t="shared" si="263"/>
        <v>985.11</v>
      </c>
      <c r="L972" s="389" t="s">
        <v>21</v>
      </c>
      <c r="M972" s="30"/>
      <c r="N972" s="30"/>
      <c r="O972" s="287">
        <f t="shared" si="264"/>
        <v>0</v>
      </c>
      <c r="P972" s="287">
        <f t="shared" si="265"/>
        <v>0</v>
      </c>
      <c r="Q972" s="288"/>
      <c r="R972" s="243"/>
      <c r="S972" s="385" t="str">
        <f t="shared" si="268"/>
        <v/>
      </c>
    </row>
    <row r="973" spans="2:19" ht="39" hidden="1" thickBot="1">
      <c r="B973" s="609">
        <v>100613</v>
      </c>
      <c r="C973" s="610" t="s">
        <v>843</v>
      </c>
      <c r="D973" s="611" t="s">
        <v>1105</v>
      </c>
      <c r="E973" s="602"/>
      <c r="F973" s="603"/>
      <c r="G973" s="604"/>
      <c r="H973" s="605"/>
      <c r="I973" s="675">
        <v>1234.67</v>
      </c>
      <c r="J973" s="675">
        <f t="shared" si="267"/>
        <v>1234.67</v>
      </c>
      <c r="K973" s="606">
        <f t="shared" si="263"/>
        <v>1498.27</v>
      </c>
      <c r="L973" s="389" t="s">
        <v>21</v>
      </c>
      <c r="M973" s="30"/>
      <c r="N973" s="30"/>
      <c r="O973" s="287">
        <f t="shared" si="264"/>
        <v>0</v>
      </c>
      <c r="P973" s="287">
        <f t="shared" si="265"/>
        <v>0</v>
      </c>
      <c r="Q973" s="288"/>
      <c r="R973" s="243"/>
      <c r="S973" s="385" t="str">
        <f t="shared" si="268"/>
        <v/>
      </c>
    </row>
    <row r="974" spans="2:19" ht="39" hidden="1" thickBot="1">
      <c r="B974" s="609">
        <v>100614</v>
      </c>
      <c r="C974" s="610" t="s">
        <v>843</v>
      </c>
      <c r="D974" s="611" t="s">
        <v>1106</v>
      </c>
      <c r="E974" s="602"/>
      <c r="F974" s="603"/>
      <c r="G974" s="604"/>
      <c r="H974" s="605"/>
      <c r="I974" s="675">
        <v>678.75</v>
      </c>
      <c r="J974" s="675">
        <f t="shared" si="267"/>
        <v>678.75</v>
      </c>
      <c r="K974" s="606">
        <f t="shared" si="263"/>
        <v>823.66</v>
      </c>
      <c r="L974" s="389" t="s">
        <v>21</v>
      </c>
      <c r="M974" s="30"/>
      <c r="N974" s="30"/>
      <c r="O974" s="287">
        <f t="shared" si="264"/>
        <v>0</v>
      </c>
      <c r="P974" s="287">
        <f t="shared" si="265"/>
        <v>0</v>
      </c>
      <c r="Q974" s="288"/>
      <c r="R974" s="243"/>
      <c r="S974" s="385" t="str">
        <f t="shared" si="268"/>
        <v/>
      </c>
    </row>
    <row r="975" spans="2:19" ht="39" hidden="1" thickBot="1">
      <c r="B975" s="609">
        <v>100615</v>
      </c>
      <c r="C975" s="610" t="s">
        <v>843</v>
      </c>
      <c r="D975" s="611" t="s">
        <v>1107</v>
      </c>
      <c r="E975" s="602"/>
      <c r="F975" s="603"/>
      <c r="G975" s="604"/>
      <c r="H975" s="605"/>
      <c r="I975" s="675">
        <v>847.26</v>
      </c>
      <c r="J975" s="675">
        <f t="shared" si="267"/>
        <v>847.26</v>
      </c>
      <c r="K975" s="606">
        <f t="shared" si="263"/>
        <v>1028.1500000000001</v>
      </c>
      <c r="L975" s="389" t="s">
        <v>21</v>
      </c>
      <c r="M975" s="30"/>
      <c r="N975" s="30"/>
      <c r="O975" s="287">
        <f t="shared" si="264"/>
        <v>0</v>
      </c>
      <c r="P975" s="287">
        <f t="shared" si="265"/>
        <v>0</v>
      </c>
      <c r="Q975" s="288"/>
      <c r="R975" s="243"/>
      <c r="S975" s="385" t="str">
        <f t="shared" si="268"/>
        <v/>
      </c>
    </row>
    <row r="976" spans="2:19" ht="39" hidden="1" thickBot="1">
      <c r="B976" s="609">
        <v>100616</v>
      </c>
      <c r="C976" s="610" t="s">
        <v>843</v>
      </c>
      <c r="D976" s="611" t="s">
        <v>1108</v>
      </c>
      <c r="E976" s="602"/>
      <c r="F976" s="603"/>
      <c r="G976" s="604"/>
      <c r="H976" s="605"/>
      <c r="I976" s="675">
        <v>1286.8499999999999</v>
      </c>
      <c r="J976" s="675">
        <f t="shared" si="267"/>
        <v>1286.8499999999999</v>
      </c>
      <c r="K976" s="606">
        <f t="shared" si="263"/>
        <v>1561.59</v>
      </c>
      <c r="L976" s="389" t="s">
        <v>21</v>
      </c>
      <c r="M976" s="30"/>
      <c r="N976" s="30"/>
      <c r="O976" s="287">
        <f t="shared" si="264"/>
        <v>0</v>
      </c>
      <c r="P976" s="287">
        <f t="shared" si="265"/>
        <v>0</v>
      </c>
      <c r="Q976" s="288"/>
      <c r="R976" s="243"/>
      <c r="S976" s="385" t="str">
        <f t="shared" si="268"/>
        <v/>
      </c>
    </row>
    <row r="977" spans="2:19" ht="39" hidden="1" thickBot="1">
      <c r="B977" s="609">
        <v>100617</v>
      </c>
      <c r="C977" s="610" t="s">
        <v>843</v>
      </c>
      <c r="D977" s="611" t="s">
        <v>1109</v>
      </c>
      <c r="E977" s="602"/>
      <c r="F977" s="603"/>
      <c r="G977" s="604"/>
      <c r="H977" s="605"/>
      <c r="I977" s="675">
        <v>882.62</v>
      </c>
      <c r="J977" s="675">
        <f t="shared" si="267"/>
        <v>882.62</v>
      </c>
      <c r="K977" s="606">
        <f t="shared" si="263"/>
        <v>1071.06</v>
      </c>
      <c r="L977" s="389" t="s">
        <v>21</v>
      </c>
      <c r="M977" s="30"/>
      <c r="N977" s="30"/>
      <c r="O977" s="287">
        <f t="shared" si="264"/>
        <v>0</v>
      </c>
      <c r="P977" s="287">
        <f t="shared" si="265"/>
        <v>0</v>
      </c>
      <c r="Q977" s="288"/>
      <c r="R977" s="243"/>
      <c r="S977" s="385" t="str">
        <f t="shared" si="268"/>
        <v/>
      </c>
    </row>
    <row r="978" spans="2:19" ht="39" hidden="1" thickBot="1">
      <c r="B978" s="609">
        <v>100618</v>
      </c>
      <c r="C978" s="610" t="s">
        <v>843</v>
      </c>
      <c r="D978" s="611" t="s">
        <v>1110</v>
      </c>
      <c r="E978" s="602"/>
      <c r="F978" s="603"/>
      <c r="G978" s="604"/>
      <c r="H978" s="605"/>
      <c r="I978" s="675">
        <v>1342.07</v>
      </c>
      <c r="J978" s="675">
        <f t="shared" si="267"/>
        <v>1342.07</v>
      </c>
      <c r="K978" s="606">
        <f t="shared" si="263"/>
        <v>1628.6</v>
      </c>
      <c r="L978" s="389" t="s">
        <v>21</v>
      </c>
      <c r="M978" s="30"/>
      <c r="N978" s="30"/>
      <c r="O978" s="287">
        <f t="shared" si="264"/>
        <v>0</v>
      </c>
      <c r="P978" s="287">
        <f t="shared" si="265"/>
        <v>0</v>
      </c>
      <c r="Q978" s="288"/>
      <c r="R978" s="243"/>
      <c r="S978" s="385" t="str">
        <f t="shared" si="268"/>
        <v/>
      </c>
    </row>
    <row r="979" spans="2:19" ht="26.25" hidden="1" thickBot="1">
      <c r="B979" s="609">
        <v>97660</v>
      </c>
      <c r="C979" s="610" t="s">
        <v>843</v>
      </c>
      <c r="D979" s="611" t="s">
        <v>1111</v>
      </c>
      <c r="E979" s="602"/>
      <c r="F979" s="603"/>
      <c r="G979" s="604"/>
      <c r="H979" s="605"/>
      <c r="I979" s="675">
        <v>0.6</v>
      </c>
      <c r="J979" s="675">
        <f t="shared" si="267"/>
        <v>0.6</v>
      </c>
      <c r="K979" s="606">
        <f t="shared" si="263"/>
        <v>0.73</v>
      </c>
      <c r="L979" s="389" t="s">
        <v>21</v>
      </c>
      <c r="M979" s="30"/>
      <c r="N979" s="30"/>
      <c r="O979" s="287">
        <f t="shared" si="264"/>
        <v>0</v>
      </c>
      <c r="P979" s="287">
        <f t="shared" si="265"/>
        <v>0</v>
      </c>
      <c r="Q979" s="288"/>
      <c r="R979" s="243"/>
      <c r="S979" s="385" t="str">
        <f t="shared" si="268"/>
        <v/>
      </c>
    </row>
    <row r="980" spans="2:19" ht="13.5" hidden="1" thickBot="1">
      <c r="B980" s="609">
        <v>90447</v>
      </c>
      <c r="C980" s="610" t="s">
        <v>843</v>
      </c>
      <c r="D980" s="611" t="s">
        <v>1112</v>
      </c>
      <c r="E980" s="602"/>
      <c r="F980" s="603"/>
      <c r="G980" s="604"/>
      <c r="H980" s="605"/>
      <c r="I980" s="675">
        <v>6.15</v>
      </c>
      <c r="J980" s="675">
        <f t="shared" si="267"/>
        <v>6.15</v>
      </c>
      <c r="K980" s="606">
        <f t="shared" si="263"/>
        <v>7.46</v>
      </c>
      <c r="L980" s="389" t="s">
        <v>19</v>
      </c>
      <c r="M980" s="30"/>
      <c r="N980" s="30"/>
      <c r="O980" s="287">
        <f t="shared" si="264"/>
        <v>0</v>
      </c>
      <c r="P980" s="287">
        <f t="shared" si="265"/>
        <v>0</v>
      </c>
      <c r="Q980" s="288"/>
      <c r="R980" s="243"/>
      <c r="S980" s="385" t="str">
        <f t="shared" si="268"/>
        <v/>
      </c>
    </row>
    <row r="981" spans="2:19" ht="13.5" hidden="1" thickBot="1">
      <c r="B981" s="609">
        <v>90456</v>
      </c>
      <c r="C981" s="610" t="s">
        <v>843</v>
      </c>
      <c r="D981" s="611" t="s">
        <v>1113</v>
      </c>
      <c r="E981" s="602"/>
      <c r="F981" s="603"/>
      <c r="G981" s="604"/>
      <c r="H981" s="605"/>
      <c r="I981" s="675">
        <v>3.98</v>
      </c>
      <c r="J981" s="675">
        <f t="shared" si="267"/>
        <v>3.98</v>
      </c>
      <c r="K981" s="606">
        <f t="shared" si="263"/>
        <v>4.83</v>
      </c>
      <c r="L981" s="389" t="s">
        <v>21</v>
      </c>
      <c r="M981" s="30"/>
      <c r="N981" s="30"/>
      <c r="O981" s="287">
        <f t="shared" si="264"/>
        <v>0</v>
      </c>
      <c r="P981" s="287">
        <f t="shared" si="265"/>
        <v>0</v>
      </c>
      <c r="Q981" s="288"/>
      <c r="R981" s="243"/>
      <c r="S981" s="385" t="str">
        <f t="shared" si="268"/>
        <v/>
      </c>
    </row>
    <row r="982" spans="2:19" ht="13.5" hidden="1" thickBot="1">
      <c r="B982" s="609">
        <v>90457</v>
      </c>
      <c r="C982" s="610" t="s">
        <v>843</v>
      </c>
      <c r="D982" s="611" t="s">
        <v>1114</v>
      </c>
      <c r="E982" s="602"/>
      <c r="F982" s="603"/>
      <c r="G982" s="604"/>
      <c r="H982" s="605"/>
      <c r="I982" s="675">
        <v>9.09</v>
      </c>
      <c r="J982" s="675">
        <f t="shared" si="267"/>
        <v>9.09</v>
      </c>
      <c r="K982" s="606">
        <f t="shared" si="263"/>
        <v>11.03</v>
      </c>
      <c r="L982" s="389" t="s">
        <v>21</v>
      </c>
      <c r="M982" s="30"/>
      <c r="N982" s="30"/>
      <c r="O982" s="287">
        <f t="shared" si="264"/>
        <v>0</v>
      </c>
      <c r="P982" s="287">
        <f t="shared" si="265"/>
        <v>0</v>
      </c>
      <c r="Q982" s="288"/>
      <c r="R982" s="243"/>
      <c r="S982" s="385" t="str">
        <f t="shared" si="268"/>
        <v/>
      </c>
    </row>
    <row r="983" spans="2:19" ht="13.5" hidden="1" thickBot="1">
      <c r="B983" s="609">
        <v>90458</v>
      </c>
      <c r="C983" s="610" t="s">
        <v>843</v>
      </c>
      <c r="D983" s="611" t="s">
        <v>1115</v>
      </c>
      <c r="E983" s="602"/>
      <c r="F983" s="603"/>
      <c r="G983" s="604"/>
      <c r="H983" s="605"/>
      <c r="I983" s="675">
        <v>25.8</v>
      </c>
      <c r="J983" s="675">
        <f t="shared" si="267"/>
        <v>25.8</v>
      </c>
      <c r="K983" s="606">
        <f t="shared" si="263"/>
        <v>31.31</v>
      </c>
      <c r="L983" s="389" t="s">
        <v>21</v>
      </c>
      <c r="M983" s="30"/>
      <c r="N983" s="30"/>
      <c r="O983" s="287">
        <f t="shared" si="264"/>
        <v>0</v>
      </c>
      <c r="P983" s="287">
        <f t="shared" si="265"/>
        <v>0</v>
      </c>
      <c r="Q983" s="288"/>
      <c r="R983" s="243"/>
      <c r="S983" s="385" t="str">
        <f t="shared" si="268"/>
        <v/>
      </c>
    </row>
    <row r="984" spans="2:19" ht="26.25" hidden="1" thickBot="1">
      <c r="B984" s="609">
        <v>101938</v>
      </c>
      <c r="C984" s="610" t="s">
        <v>843</v>
      </c>
      <c r="D984" s="611" t="s">
        <v>1116</v>
      </c>
      <c r="E984" s="602"/>
      <c r="F984" s="603"/>
      <c r="G984" s="604"/>
      <c r="H984" s="605"/>
      <c r="I984" s="675">
        <v>78.09</v>
      </c>
      <c r="J984" s="675">
        <f t="shared" si="267"/>
        <v>78.09</v>
      </c>
      <c r="K984" s="606">
        <f t="shared" si="263"/>
        <v>94.76</v>
      </c>
      <c r="L984" s="389" t="s">
        <v>21</v>
      </c>
      <c r="M984" s="30"/>
      <c r="N984" s="30"/>
      <c r="O984" s="287">
        <f t="shared" si="264"/>
        <v>0</v>
      </c>
      <c r="P984" s="287">
        <f t="shared" si="265"/>
        <v>0</v>
      </c>
      <c r="Q984" s="288"/>
      <c r="R984" s="243"/>
      <c r="S984" s="385" t="str">
        <f t="shared" si="268"/>
        <v/>
      </c>
    </row>
    <row r="985" spans="2:19" ht="26.25" hidden="1" thickBot="1">
      <c r="B985" s="609">
        <v>101489</v>
      </c>
      <c r="C985" s="610" t="s">
        <v>843</v>
      </c>
      <c r="D985" s="611" t="s">
        <v>1117</v>
      </c>
      <c r="E985" s="602"/>
      <c r="F985" s="603"/>
      <c r="G985" s="604"/>
      <c r="H985" s="605"/>
      <c r="I985" s="675">
        <v>1077</v>
      </c>
      <c r="J985" s="675">
        <f t="shared" ref="J985:J987" si="269">IF(ISBLANK(I985),"",SUM(H985:I985))</f>
        <v>1077</v>
      </c>
      <c r="K985" s="606">
        <f t="shared" si="263"/>
        <v>1306.94</v>
      </c>
      <c r="L985" s="389" t="s">
        <v>21</v>
      </c>
      <c r="M985" s="30"/>
      <c r="N985" s="30"/>
      <c r="O985" s="287">
        <f t="shared" si="264"/>
        <v>0</v>
      </c>
      <c r="P985" s="287">
        <f t="shared" si="265"/>
        <v>0</v>
      </c>
      <c r="Q985" s="288"/>
      <c r="R985" s="243"/>
      <c r="S985" s="385" t="str">
        <f t="shared" si="268"/>
        <v/>
      </c>
    </row>
    <row r="986" spans="2:19" ht="26.25" hidden="1" thickBot="1">
      <c r="B986" s="609">
        <v>101490</v>
      </c>
      <c r="C986" s="610" t="s">
        <v>843</v>
      </c>
      <c r="D986" s="611" t="s">
        <v>1118</v>
      </c>
      <c r="E986" s="602"/>
      <c r="F986" s="603"/>
      <c r="G986" s="604"/>
      <c r="H986" s="605"/>
      <c r="I986" s="675">
        <v>1154.6600000000001</v>
      </c>
      <c r="J986" s="675">
        <f t="shared" si="269"/>
        <v>1154.6600000000001</v>
      </c>
      <c r="K986" s="606">
        <f t="shared" si="263"/>
        <v>1401.18</v>
      </c>
      <c r="L986" s="389" t="s">
        <v>21</v>
      </c>
      <c r="M986" s="30"/>
      <c r="N986" s="30"/>
      <c r="O986" s="287">
        <f t="shared" si="264"/>
        <v>0</v>
      </c>
      <c r="P986" s="287">
        <f t="shared" si="265"/>
        <v>0</v>
      </c>
      <c r="Q986" s="288"/>
      <c r="R986" s="243"/>
      <c r="S986" s="385" t="str">
        <f t="shared" si="268"/>
        <v/>
      </c>
    </row>
    <row r="987" spans="2:19" ht="26.25" hidden="1" thickBot="1">
      <c r="B987" s="609">
        <v>101491</v>
      </c>
      <c r="C987" s="610" t="s">
        <v>843</v>
      </c>
      <c r="D987" s="611" t="s">
        <v>1119</v>
      </c>
      <c r="E987" s="602"/>
      <c r="F987" s="603"/>
      <c r="G987" s="604"/>
      <c r="H987" s="605"/>
      <c r="I987" s="675">
        <v>1179.8499999999999</v>
      </c>
      <c r="J987" s="675">
        <f t="shared" si="269"/>
        <v>1179.8499999999999</v>
      </c>
      <c r="K987" s="606">
        <f t="shared" si="263"/>
        <v>1431.75</v>
      </c>
      <c r="L987" s="389" t="s">
        <v>21</v>
      </c>
      <c r="M987" s="30"/>
      <c r="N987" s="30"/>
      <c r="O987" s="287">
        <f t="shared" si="264"/>
        <v>0</v>
      </c>
      <c r="P987" s="287">
        <f t="shared" si="265"/>
        <v>0</v>
      </c>
      <c r="Q987" s="288"/>
      <c r="R987" s="243"/>
      <c r="S987" s="385" t="str">
        <f t="shared" si="268"/>
        <v/>
      </c>
    </row>
    <row r="988" spans="2:19" ht="26.25" hidden="1" thickBot="1">
      <c r="B988" s="609">
        <v>101492</v>
      </c>
      <c r="C988" s="610" t="s">
        <v>843</v>
      </c>
      <c r="D988" s="611" t="s">
        <v>1120</v>
      </c>
      <c r="E988" s="602"/>
      <c r="F988" s="603"/>
      <c r="G988" s="604"/>
      <c r="H988" s="605"/>
      <c r="I988" s="675">
        <v>1293.6099999999999</v>
      </c>
      <c r="J988" s="675">
        <f t="shared" ref="J988:J1051" si="270">IF(ISBLANK(I988),"",SUM(H988:I988))</f>
        <v>1293.6099999999999</v>
      </c>
      <c r="K988" s="606">
        <f t="shared" si="263"/>
        <v>1569.8</v>
      </c>
      <c r="L988" s="389" t="s">
        <v>21</v>
      </c>
      <c r="M988" s="30"/>
      <c r="N988" s="30"/>
      <c r="O988" s="287">
        <f t="shared" si="264"/>
        <v>0</v>
      </c>
      <c r="P988" s="287">
        <f t="shared" si="265"/>
        <v>0</v>
      </c>
      <c r="Q988" s="288"/>
      <c r="R988" s="243"/>
      <c r="S988" s="385" t="str">
        <f t="shared" si="268"/>
        <v/>
      </c>
    </row>
    <row r="989" spans="2:19" ht="26.25" hidden="1" thickBot="1">
      <c r="B989" s="609">
        <v>101493</v>
      </c>
      <c r="C989" s="610" t="s">
        <v>843</v>
      </c>
      <c r="D989" s="611" t="s">
        <v>1121</v>
      </c>
      <c r="E989" s="602"/>
      <c r="F989" s="603"/>
      <c r="G989" s="604"/>
      <c r="H989" s="605"/>
      <c r="I989" s="675">
        <v>1061.6099999999999</v>
      </c>
      <c r="J989" s="675">
        <f t="shared" si="270"/>
        <v>1061.6099999999999</v>
      </c>
      <c r="K989" s="606">
        <f t="shared" si="263"/>
        <v>1288.26</v>
      </c>
      <c r="L989" s="389" t="s">
        <v>21</v>
      </c>
      <c r="M989" s="30"/>
      <c r="N989" s="30"/>
      <c r="O989" s="287">
        <f t="shared" si="264"/>
        <v>0</v>
      </c>
      <c r="P989" s="287">
        <f t="shared" si="265"/>
        <v>0</v>
      </c>
      <c r="Q989" s="288"/>
      <c r="R989" s="243"/>
      <c r="S989" s="385" t="str">
        <f t="shared" si="268"/>
        <v/>
      </c>
    </row>
    <row r="990" spans="2:19" ht="26.25" hidden="1" thickBot="1">
      <c r="B990" s="609">
        <v>101494</v>
      </c>
      <c r="C990" s="610" t="s">
        <v>843</v>
      </c>
      <c r="D990" s="611" t="s">
        <v>1122</v>
      </c>
      <c r="E990" s="602"/>
      <c r="F990" s="603"/>
      <c r="G990" s="604"/>
      <c r="H990" s="605"/>
      <c r="I990" s="675">
        <v>1139.27</v>
      </c>
      <c r="J990" s="675">
        <f t="shared" si="270"/>
        <v>1139.27</v>
      </c>
      <c r="K990" s="606">
        <f t="shared" si="263"/>
        <v>1382.5</v>
      </c>
      <c r="L990" s="389" t="s">
        <v>21</v>
      </c>
      <c r="M990" s="30"/>
      <c r="N990" s="30"/>
      <c r="O990" s="287">
        <f t="shared" si="264"/>
        <v>0</v>
      </c>
      <c r="P990" s="287">
        <f t="shared" si="265"/>
        <v>0</v>
      </c>
      <c r="Q990" s="288"/>
      <c r="R990" s="243"/>
      <c r="S990" s="385" t="str">
        <f t="shared" si="268"/>
        <v/>
      </c>
    </row>
    <row r="991" spans="2:19" ht="26.25" hidden="1" thickBot="1">
      <c r="B991" s="609">
        <v>101495</v>
      </c>
      <c r="C991" s="610" t="s">
        <v>843</v>
      </c>
      <c r="D991" s="611" t="s">
        <v>1123</v>
      </c>
      <c r="E991" s="602"/>
      <c r="F991" s="603"/>
      <c r="G991" s="604"/>
      <c r="H991" s="605"/>
      <c r="I991" s="675">
        <v>1164.46</v>
      </c>
      <c r="J991" s="675">
        <f t="shared" si="270"/>
        <v>1164.46</v>
      </c>
      <c r="K991" s="606">
        <f t="shared" si="263"/>
        <v>1413.07</v>
      </c>
      <c r="L991" s="389" t="s">
        <v>21</v>
      </c>
      <c r="M991" s="30"/>
      <c r="N991" s="30"/>
      <c r="O991" s="287">
        <f t="shared" si="264"/>
        <v>0</v>
      </c>
      <c r="P991" s="287">
        <f t="shared" si="265"/>
        <v>0</v>
      </c>
      <c r="Q991" s="288"/>
      <c r="R991" s="243"/>
      <c r="S991" s="385" t="str">
        <f t="shared" si="268"/>
        <v/>
      </c>
    </row>
    <row r="992" spans="2:19" ht="26.25" hidden="1" thickBot="1">
      <c r="B992" s="609">
        <v>101496</v>
      </c>
      <c r="C992" s="610" t="s">
        <v>843</v>
      </c>
      <c r="D992" s="611" t="s">
        <v>1124</v>
      </c>
      <c r="E992" s="602"/>
      <c r="F992" s="603"/>
      <c r="G992" s="604"/>
      <c r="H992" s="605"/>
      <c r="I992" s="675">
        <v>1278.22</v>
      </c>
      <c r="J992" s="675">
        <f t="shared" si="270"/>
        <v>1278.22</v>
      </c>
      <c r="K992" s="606">
        <f t="shared" si="263"/>
        <v>1551.12</v>
      </c>
      <c r="L992" s="389" t="s">
        <v>21</v>
      </c>
      <c r="M992" s="30"/>
      <c r="N992" s="30"/>
      <c r="O992" s="287">
        <f t="shared" si="264"/>
        <v>0</v>
      </c>
      <c r="P992" s="287">
        <f t="shared" si="265"/>
        <v>0</v>
      </c>
      <c r="Q992" s="288"/>
      <c r="R992" s="243"/>
      <c r="S992" s="385" t="str">
        <f t="shared" si="268"/>
        <v/>
      </c>
    </row>
    <row r="993" spans="2:19" ht="26.25" hidden="1" thickBot="1">
      <c r="B993" s="609">
        <v>101497</v>
      </c>
      <c r="C993" s="610" t="s">
        <v>843</v>
      </c>
      <c r="D993" s="611" t="s">
        <v>1125</v>
      </c>
      <c r="E993" s="602"/>
      <c r="F993" s="603"/>
      <c r="G993" s="604"/>
      <c r="H993" s="605"/>
      <c r="I993" s="675">
        <v>1278.9000000000001</v>
      </c>
      <c r="J993" s="675">
        <f t="shared" si="270"/>
        <v>1278.9000000000001</v>
      </c>
      <c r="K993" s="606">
        <f t="shared" si="263"/>
        <v>1551.95</v>
      </c>
      <c r="L993" s="389" t="s">
        <v>21</v>
      </c>
      <c r="M993" s="30"/>
      <c r="N993" s="30"/>
      <c r="O993" s="287">
        <f t="shared" si="264"/>
        <v>0</v>
      </c>
      <c r="P993" s="287">
        <f t="shared" si="265"/>
        <v>0</v>
      </c>
      <c r="Q993" s="288"/>
      <c r="R993" s="243"/>
      <c r="S993" s="385" t="str">
        <f t="shared" si="268"/>
        <v/>
      </c>
    </row>
    <row r="994" spans="2:19" ht="26.25" hidden="1" thickBot="1">
      <c r="B994" s="609">
        <v>101498</v>
      </c>
      <c r="C994" s="610" t="s">
        <v>843</v>
      </c>
      <c r="D994" s="611" t="s">
        <v>1126</v>
      </c>
      <c r="E994" s="602"/>
      <c r="F994" s="603"/>
      <c r="G994" s="604"/>
      <c r="H994" s="605"/>
      <c r="I994" s="675">
        <v>1396.45</v>
      </c>
      <c r="J994" s="675">
        <f t="shared" si="270"/>
        <v>1396.45</v>
      </c>
      <c r="K994" s="606">
        <f t="shared" si="263"/>
        <v>1694.59</v>
      </c>
      <c r="L994" s="389" t="s">
        <v>21</v>
      </c>
      <c r="M994" s="30"/>
      <c r="N994" s="30"/>
      <c r="O994" s="287">
        <f t="shared" si="264"/>
        <v>0</v>
      </c>
      <c r="P994" s="287">
        <f t="shared" si="265"/>
        <v>0</v>
      </c>
      <c r="Q994" s="288"/>
      <c r="R994" s="243"/>
      <c r="S994" s="385" t="str">
        <f t="shared" si="268"/>
        <v/>
      </c>
    </row>
    <row r="995" spans="2:19" ht="26.25" hidden="1" thickBot="1">
      <c r="B995" s="609">
        <v>101499</v>
      </c>
      <c r="C995" s="610" t="s">
        <v>843</v>
      </c>
      <c r="D995" s="611" t="s">
        <v>1127</v>
      </c>
      <c r="E995" s="602"/>
      <c r="F995" s="603"/>
      <c r="G995" s="604"/>
      <c r="H995" s="605"/>
      <c r="I995" s="675">
        <v>1434.57</v>
      </c>
      <c r="J995" s="675">
        <f t="shared" si="270"/>
        <v>1434.57</v>
      </c>
      <c r="K995" s="606">
        <f t="shared" si="263"/>
        <v>1740.85</v>
      </c>
      <c r="L995" s="389" t="s">
        <v>21</v>
      </c>
      <c r="M995" s="30"/>
      <c r="N995" s="30"/>
      <c r="O995" s="287">
        <f t="shared" si="264"/>
        <v>0</v>
      </c>
      <c r="P995" s="287">
        <f t="shared" si="265"/>
        <v>0</v>
      </c>
      <c r="Q995" s="288"/>
      <c r="R995" s="243"/>
      <c r="S995" s="385" t="str">
        <f t="shared" si="268"/>
        <v/>
      </c>
    </row>
    <row r="996" spans="2:19" ht="26.25" hidden="1" thickBot="1">
      <c r="B996" s="609">
        <v>101500</v>
      </c>
      <c r="C996" s="610" t="s">
        <v>843</v>
      </c>
      <c r="D996" s="611" t="s">
        <v>1128</v>
      </c>
      <c r="E996" s="602"/>
      <c r="F996" s="603"/>
      <c r="G996" s="604"/>
      <c r="H996" s="605"/>
      <c r="I996" s="675">
        <v>1593.31</v>
      </c>
      <c r="J996" s="675">
        <f t="shared" si="270"/>
        <v>1593.31</v>
      </c>
      <c r="K996" s="606">
        <f t="shared" si="263"/>
        <v>1933.48</v>
      </c>
      <c r="L996" s="389" t="s">
        <v>21</v>
      </c>
      <c r="M996" s="30"/>
      <c r="N996" s="30"/>
      <c r="O996" s="287">
        <f t="shared" si="264"/>
        <v>0</v>
      </c>
      <c r="P996" s="287">
        <f t="shared" si="265"/>
        <v>0</v>
      </c>
      <c r="Q996" s="288"/>
      <c r="R996" s="243"/>
      <c r="S996" s="385" t="str">
        <f t="shared" si="268"/>
        <v/>
      </c>
    </row>
    <row r="997" spans="2:19" ht="26.25" hidden="1" thickBot="1">
      <c r="B997" s="609">
        <v>101501</v>
      </c>
      <c r="C997" s="610" t="s">
        <v>843</v>
      </c>
      <c r="D997" s="611" t="s">
        <v>1129</v>
      </c>
      <c r="E997" s="602"/>
      <c r="F997" s="603"/>
      <c r="G997" s="604"/>
      <c r="H997" s="605"/>
      <c r="I997" s="675">
        <v>1269.47</v>
      </c>
      <c r="J997" s="675">
        <f t="shared" si="270"/>
        <v>1269.47</v>
      </c>
      <c r="K997" s="606">
        <f t="shared" si="263"/>
        <v>1540.5</v>
      </c>
      <c r="L997" s="389" t="s">
        <v>21</v>
      </c>
      <c r="M997" s="30"/>
      <c r="N997" s="30"/>
      <c r="O997" s="287">
        <f t="shared" si="264"/>
        <v>0</v>
      </c>
      <c r="P997" s="287">
        <f t="shared" si="265"/>
        <v>0</v>
      </c>
      <c r="Q997" s="288"/>
      <c r="R997" s="243"/>
      <c r="S997" s="385" t="str">
        <f t="shared" si="268"/>
        <v/>
      </c>
    </row>
    <row r="998" spans="2:19" ht="26.25" hidden="1" thickBot="1">
      <c r="B998" s="609">
        <v>101502</v>
      </c>
      <c r="C998" s="610" t="s">
        <v>843</v>
      </c>
      <c r="D998" s="611" t="s">
        <v>1130</v>
      </c>
      <c r="E998" s="602"/>
      <c r="F998" s="603"/>
      <c r="G998" s="604"/>
      <c r="H998" s="605"/>
      <c r="I998" s="675">
        <v>1387.02</v>
      </c>
      <c r="J998" s="675">
        <f t="shared" si="270"/>
        <v>1387.02</v>
      </c>
      <c r="K998" s="606">
        <f t="shared" si="263"/>
        <v>1683.15</v>
      </c>
      <c r="L998" s="389" t="s">
        <v>21</v>
      </c>
      <c r="M998" s="30"/>
      <c r="N998" s="30"/>
      <c r="O998" s="287">
        <f t="shared" si="264"/>
        <v>0</v>
      </c>
      <c r="P998" s="287">
        <f t="shared" si="265"/>
        <v>0</v>
      </c>
      <c r="Q998" s="288"/>
      <c r="R998" s="243"/>
      <c r="S998" s="385" t="str">
        <f t="shared" si="268"/>
        <v/>
      </c>
    </row>
    <row r="999" spans="2:19" ht="26.25" hidden="1" thickBot="1">
      <c r="B999" s="609">
        <v>101503</v>
      </c>
      <c r="C999" s="610" t="s">
        <v>843</v>
      </c>
      <c r="D999" s="611" t="s">
        <v>1131</v>
      </c>
      <c r="E999" s="602"/>
      <c r="F999" s="603"/>
      <c r="G999" s="604"/>
      <c r="H999" s="605"/>
      <c r="I999" s="675">
        <v>1425.14</v>
      </c>
      <c r="J999" s="675">
        <f t="shared" si="270"/>
        <v>1425.14</v>
      </c>
      <c r="K999" s="606">
        <f t="shared" si="263"/>
        <v>1729.41</v>
      </c>
      <c r="L999" s="389" t="s">
        <v>21</v>
      </c>
      <c r="M999" s="30"/>
      <c r="N999" s="30"/>
      <c r="O999" s="287">
        <f t="shared" si="264"/>
        <v>0</v>
      </c>
      <c r="P999" s="287">
        <f t="shared" si="265"/>
        <v>0</v>
      </c>
      <c r="Q999" s="288"/>
      <c r="R999" s="243"/>
      <c r="S999" s="385" t="str">
        <f t="shared" si="268"/>
        <v/>
      </c>
    </row>
    <row r="1000" spans="2:19" ht="26.25" hidden="1" thickBot="1">
      <c r="B1000" s="609">
        <v>101504</v>
      </c>
      <c r="C1000" s="610" t="s">
        <v>843</v>
      </c>
      <c r="D1000" s="611" t="s">
        <v>1132</v>
      </c>
      <c r="E1000" s="602"/>
      <c r="F1000" s="603"/>
      <c r="G1000" s="604"/>
      <c r="H1000" s="605"/>
      <c r="I1000" s="675">
        <v>1583.88</v>
      </c>
      <c r="J1000" s="675">
        <f t="shared" si="270"/>
        <v>1583.88</v>
      </c>
      <c r="K1000" s="606">
        <f t="shared" si="263"/>
        <v>1922.04</v>
      </c>
      <c r="L1000" s="389" t="s">
        <v>21</v>
      </c>
      <c r="M1000" s="30"/>
      <c r="N1000" s="30"/>
      <c r="O1000" s="287">
        <f t="shared" si="264"/>
        <v>0</v>
      </c>
      <c r="P1000" s="287">
        <f t="shared" si="265"/>
        <v>0</v>
      </c>
      <c r="Q1000" s="288"/>
      <c r="R1000" s="243"/>
      <c r="S1000" s="385" t="str">
        <f t="shared" si="268"/>
        <v/>
      </c>
    </row>
    <row r="1001" spans="2:19" ht="26.25" hidden="1" thickBot="1">
      <c r="B1001" s="609">
        <v>101505</v>
      </c>
      <c r="C1001" s="610" t="s">
        <v>843</v>
      </c>
      <c r="D1001" s="611" t="s">
        <v>1133</v>
      </c>
      <c r="E1001" s="602"/>
      <c r="F1001" s="603"/>
      <c r="G1001" s="604"/>
      <c r="H1001" s="605"/>
      <c r="I1001" s="675">
        <v>1376.8</v>
      </c>
      <c r="J1001" s="675">
        <f t="shared" si="270"/>
        <v>1376.8</v>
      </c>
      <c r="K1001" s="606">
        <f t="shared" si="263"/>
        <v>1670.75</v>
      </c>
      <c r="L1001" s="389" t="s">
        <v>21</v>
      </c>
      <c r="M1001" s="30"/>
      <c r="N1001" s="30"/>
      <c r="O1001" s="287">
        <f t="shared" si="264"/>
        <v>0</v>
      </c>
      <c r="P1001" s="287">
        <f t="shared" si="265"/>
        <v>0</v>
      </c>
      <c r="Q1001" s="288"/>
      <c r="R1001" s="243"/>
      <c r="S1001" s="385" t="str">
        <f t="shared" si="268"/>
        <v/>
      </c>
    </row>
    <row r="1002" spans="2:19" ht="26.25" hidden="1" thickBot="1">
      <c r="B1002" s="609">
        <v>101506</v>
      </c>
      <c r="C1002" s="610" t="s">
        <v>843</v>
      </c>
      <c r="D1002" s="611" t="s">
        <v>1134</v>
      </c>
      <c r="E1002" s="602"/>
      <c r="F1002" s="603"/>
      <c r="G1002" s="604"/>
      <c r="H1002" s="605"/>
      <c r="I1002" s="675">
        <v>1533.53</v>
      </c>
      <c r="J1002" s="675">
        <f t="shared" si="270"/>
        <v>1533.53</v>
      </c>
      <c r="K1002" s="606">
        <f t="shared" si="263"/>
        <v>1860.94</v>
      </c>
      <c r="L1002" s="389" t="s">
        <v>21</v>
      </c>
      <c r="M1002" s="30"/>
      <c r="N1002" s="30"/>
      <c r="O1002" s="287">
        <f t="shared" si="264"/>
        <v>0</v>
      </c>
      <c r="P1002" s="287">
        <f t="shared" si="265"/>
        <v>0</v>
      </c>
      <c r="Q1002" s="288"/>
      <c r="R1002" s="243"/>
      <c r="S1002" s="385" t="str">
        <f t="shared" si="268"/>
        <v/>
      </c>
    </row>
    <row r="1003" spans="2:19" ht="26.25" hidden="1" thickBot="1">
      <c r="B1003" s="609">
        <v>101507</v>
      </c>
      <c r="C1003" s="610" t="s">
        <v>843</v>
      </c>
      <c r="D1003" s="611" t="s">
        <v>1135</v>
      </c>
      <c r="E1003" s="602"/>
      <c r="F1003" s="603"/>
      <c r="G1003" s="604"/>
      <c r="H1003" s="605"/>
      <c r="I1003" s="675">
        <v>1584.37</v>
      </c>
      <c r="J1003" s="675">
        <f t="shared" si="270"/>
        <v>1584.37</v>
      </c>
      <c r="K1003" s="606">
        <f t="shared" si="263"/>
        <v>1922.63</v>
      </c>
      <c r="L1003" s="389" t="s">
        <v>21</v>
      </c>
      <c r="M1003" s="30"/>
      <c r="N1003" s="30"/>
      <c r="O1003" s="287">
        <f t="shared" si="264"/>
        <v>0</v>
      </c>
      <c r="P1003" s="287">
        <f t="shared" si="265"/>
        <v>0</v>
      </c>
      <c r="Q1003" s="288"/>
      <c r="R1003" s="243"/>
      <c r="S1003" s="385" t="str">
        <f t="shared" si="268"/>
        <v/>
      </c>
    </row>
    <row r="1004" spans="2:19" ht="26.25" hidden="1" thickBot="1">
      <c r="B1004" s="609">
        <v>101508</v>
      </c>
      <c r="C1004" s="610" t="s">
        <v>843</v>
      </c>
      <c r="D1004" s="611" t="s">
        <v>1136</v>
      </c>
      <c r="E1004" s="602"/>
      <c r="F1004" s="603"/>
      <c r="G1004" s="604"/>
      <c r="H1004" s="605"/>
      <c r="I1004" s="675">
        <v>1787.28</v>
      </c>
      <c r="J1004" s="675">
        <f t="shared" si="270"/>
        <v>1787.28</v>
      </c>
      <c r="K1004" s="606">
        <f t="shared" si="263"/>
        <v>2168.86</v>
      </c>
      <c r="L1004" s="389" t="s">
        <v>21</v>
      </c>
      <c r="M1004" s="30"/>
      <c r="N1004" s="30"/>
      <c r="O1004" s="287">
        <f t="shared" si="264"/>
        <v>0</v>
      </c>
      <c r="P1004" s="287">
        <f t="shared" si="265"/>
        <v>0</v>
      </c>
      <c r="Q1004" s="288"/>
      <c r="R1004" s="243"/>
      <c r="S1004" s="385" t="str">
        <f t="shared" si="268"/>
        <v/>
      </c>
    </row>
    <row r="1005" spans="2:19" ht="26.25" hidden="1" thickBot="1">
      <c r="B1005" s="609">
        <v>101509</v>
      </c>
      <c r="C1005" s="610" t="s">
        <v>843</v>
      </c>
      <c r="D1005" s="611" t="s">
        <v>1137</v>
      </c>
      <c r="E1005" s="602"/>
      <c r="F1005" s="603"/>
      <c r="G1005" s="604"/>
      <c r="H1005" s="605"/>
      <c r="I1005" s="675">
        <v>1545.12</v>
      </c>
      <c r="J1005" s="675">
        <f t="shared" si="270"/>
        <v>1545.12</v>
      </c>
      <c r="K1005" s="606">
        <f t="shared" si="263"/>
        <v>1875</v>
      </c>
      <c r="L1005" s="389" t="s">
        <v>21</v>
      </c>
      <c r="M1005" s="30"/>
      <c r="N1005" s="30"/>
      <c r="O1005" s="287">
        <f t="shared" si="264"/>
        <v>0</v>
      </c>
      <c r="P1005" s="287">
        <f t="shared" si="265"/>
        <v>0</v>
      </c>
      <c r="Q1005" s="288"/>
      <c r="R1005" s="243"/>
      <c r="S1005" s="385" t="str">
        <f t="shared" si="268"/>
        <v/>
      </c>
    </row>
    <row r="1006" spans="2:19" ht="26.25" hidden="1" thickBot="1">
      <c r="B1006" s="609">
        <v>101510</v>
      </c>
      <c r="C1006" s="610" t="s">
        <v>843</v>
      </c>
      <c r="D1006" s="611" t="s">
        <v>1138</v>
      </c>
      <c r="E1006" s="602"/>
      <c r="F1006" s="603"/>
      <c r="G1006" s="604"/>
      <c r="H1006" s="605"/>
      <c r="I1006" s="675">
        <v>1701.85</v>
      </c>
      <c r="J1006" s="675">
        <f t="shared" si="270"/>
        <v>1701.85</v>
      </c>
      <c r="K1006" s="606">
        <f t="shared" si="263"/>
        <v>2065.19</v>
      </c>
      <c r="L1006" s="389" t="s">
        <v>21</v>
      </c>
      <c r="M1006" s="30"/>
      <c r="N1006" s="30"/>
      <c r="O1006" s="287">
        <f t="shared" si="264"/>
        <v>0</v>
      </c>
      <c r="P1006" s="287">
        <f t="shared" si="265"/>
        <v>0</v>
      </c>
      <c r="Q1006" s="288"/>
      <c r="R1006" s="243"/>
      <c r="S1006" s="385" t="str">
        <f t="shared" si="268"/>
        <v/>
      </c>
    </row>
    <row r="1007" spans="2:19" ht="26.25" hidden="1" thickBot="1">
      <c r="B1007" s="609">
        <v>101511</v>
      </c>
      <c r="C1007" s="610" t="s">
        <v>843</v>
      </c>
      <c r="D1007" s="611" t="s">
        <v>1139</v>
      </c>
      <c r="E1007" s="602"/>
      <c r="F1007" s="603"/>
      <c r="G1007" s="604"/>
      <c r="H1007" s="605"/>
      <c r="I1007" s="675">
        <v>1752.69</v>
      </c>
      <c r="J1007" s="675">
        <f t="shared" si="270"/>
        <v>1752.69</v>
      </c>
      <c r="K1007" s="606">
        <f t="shared" si="263"/>
        <v>2126.89</v>
      </c>
      <c r="L1007" s="389" t="s">
        <v>21</v>
      </c>
      <c r="M1007" s="30"/>
      <c r="N1007" s="30"/>
      <c r="O1007" s="287">
        <f t="shared" si="264"/>
        <v>0</v>
      </c>
      <c r="P1007" s="287">
        <f t="shared" si="265"/>
        <v>0</v>
      </c>
      <c r="Q1007" s="288"/>
      <c r="R1007" s="243"/>
      <c r="S1007" s="385" t="str">
        <f t="shared" si="268"/>
        <v/>
      </c>
    </row>
    <row r="1008" spans="2:19" ht="26.25" hidden="1" thickBot="1">
      <c r="B1008" s="609">
        <v>101512</v>
      </c>
      <c r="C1008" s="610" t="s">
        <v>843</v>
      </c>
      <c r="D1008" s="611" t="s">
        <v>1140</v>
      </c>
      <c r="E1008" s="602"/>
      <c r="F1008" s="603"/>
      <c r="G1008" s="604"/>
      <c r="H1008" s="605"/>
      <c r="I1008" s="675">
        <v>1955.6</v>
      </c>
      <c r="J1008" s="675">
        <f t="shared" si="270"/>
        <v>1955.6</v>
      </c>
      <c r="K1008" s="606">
        <f t="shared" si="263"/>
        <v>2373.12</v>
      </c>
      <c r="L1008" s="389" t="s">
        <v>21</v>
      </c>
      <c r="M1008" s="30"/>
      <c r="N1008" s="30"/>
      <c r="O1008" s="287">
        <f t="shared" si="264"/>
        <v>0</v>
      </c>
      <c r="P1008" s="287">
        <f t="shared" si="265"/>
        <v>0</v>
      </c>
      <c r="Q1008" s="288"/>
      <c r="R1008" s="243"/>
      <c r="S1008" s="385" t="str">
        <f t="shared" si="268"/>
        <v/>
      </c>
    </row>
    <row r="1009" spans="2:19" ht="26.25" hidden="1" thickBot="1">
      <c r="B1009" s="609">
        <v>101513</v>
      </c>
      <c r="C1009" s="610" t="s">
        <v>843</v>
      </c>
      <c r="D1009" s="611" t="s">
        <v>1141</v>
      </c>
      <c r="E1009" s="602"/>
      <c r="F1009" s="603"/>
      <c r="G1009" s="604"/>
      <c r="H1009" s="605"/>
      <c r="I1009" s="675">
        <v>599.65</v>
      </c>
      <c r="J1009" s="675">
        <f t="shared" si="270"/>
        <v>599.65</v>
      </c>
      <c r="K1009" s="606">
        <f t="shared" si="263"/>
        <v>727.68</v>
      </c>
      <c r="L1009" s="389" t="s">
        <v>21</v>
      </c>
      <c r="M1009" s="30"/>
      <c r="N1009" s="30"/>
      <c r="O1009" s="287">
        <f t="shared" si="264"/>
        <v>0</v>
      </c>
      <c r="P1009" s="287">
        <f t="shared" si="265"/>
        <v>0</v>
      </c>
      <c r="Q1009" s="288"/>
      <c r="R1009" s="243"/>
      <c r="S1009" s="385" t="str">
        <f t="shared" si="268"/>
        <v/>
      </c>
    </row>
    <row r="1010" spans="2:19" ht="26.25" hidden="1" thickBot="1">
      <c r="B1010" s="609">
        <v>101514</v>
      </c>
      <c r="C1010" s="610" t="s">
        <v>843</v>
      </c>
      <c r="D1010" s="611" t="s">
        <v>1142</v>
      </c>
      <c r="E1010" s="602"/>
      <c r="F1010" s="603"/>
      <c r="G1010" s="604"/>
      <c r="H1010" s="605"/>
      <c r="I1010" s="675">
        <v>692.84</v>
      </c>
      <c r="J1010" s="675">
        <f t="shared" si="270"/>
        <v>692.84</v>
      </c>
      <c r="K1010" s="606">
        <f t="shared" si="263"/>
        <v>840.76</v>
      </c>
      <c r="L1010" s="389" t="s">
        <v>21</v>
      </c>
      <c r="M1010" s="30"/>
      <c r="N1010" s="30"/>
      <c r="O1010" s="287">
        <f t="shared" si="264"/>
        <v>0</v>
      </c>
      <c r="P1010" s="287">
        <f t="shared" si="265"/>
        <v>0</v>
      </c>
      <c r="Q1010" s="288"/>
      <c r="R1010" s="243"/>
      <c r="S1010" s="385" t="str">
        <f t="shared" si="268"/>
        <v/>
      </c>
    </row>
    <row r="1011" spans="2:19" ht="26.25" hidden="1" thickBot="1">
      <c r="B1011" s="609">
        <v>101515</v>
      </c>
      <c r="C1011" s="610" t="s">
        <v>843</v>
      </c>
      <c r="D1011" s="611" t="s">
        <v>1143</v>
      </c>
      <c r="E1011" s="602"/>
      <c r="F1011" s="603"/>
      <c r="G1011" s="604"/>
      <c r="H1011" s="605"/>
      <c r="I1011" s="675">
        <v>723.07</v>
      </c>
      <c r="J1011" s="675">
        <f t="shared" si="270"/>
        <v>723.07</v>
      </c>
      <c r="K1011" s="606">
        <f t="shared" si="263"/>
        <v>877.45</v>
      </c>
      <c r="L1011" s="389" t="s">
        <v>21</v>
      </c>
      <c r="M1011" s="30"/>
      <c r="N1011" s="30"/>
      <c r="O1011" s="287">
        <f t="shared" si="264"/>
        <v>0</v>
      </c>
      <c r="P1011" s="287">
        <f t="shared" si="265"/>
        <v>0</v>
      </c>
      <c r="Q1011" s="288"/>
      <c r="R1011" s="243"/>
      <c r="S1011" s="385" t="str">
        <f t="shared" si="268"/>
        <v/>
      </c>
    </row>
    <row r="1012" spans="2:19" ht="26.25" hidden="1" thickBot="1">
      <c r="B1012" s="609">
        <v>101516</v>
      </c>
      <c r="C1012" s="610" t="s">
        <v>843</v>
      </c>
      <c r="D1012" s="611" t="s">
        <v>1144</v>
      </c>
      <c r="E1012" s="602"/>
      <c r="F1012" s="603"/>
      <c r="G1012" s="604"/>
      <c r="H1012" s="605"/>
      <c r="I1012" s="675">
        <v>828.14</v>
      </c>
      <c r="J1012" s="675">
        <f t="shared" si="270"/>
        <v>828.14</v>
      </c>
      <c r="K1012" s="606">
        <f t="shared" si="263"/>
        <v>1004.95</v>
      </c>
      <c r="L1012" s="389" t="s">
        <v>21</v>
      </c>
      <c r="M1012" s="30"/>
      <c r="N1012" s="30"/>
      <c r="O1012" s="287">
        <f t="shared" si="264"/>
        <v>0</v>
      </c>
      <c r="P1012" s="287">
        <f t="shared" si="265"/>
        <v>0</v>
      </c>
      <c r="Q1012" s="288"/>
      <c r="R1012" s="243"/>
      <c r="S1012" s="385" t="str">
        <f t="shared" si="268"/>
        <v/>
      </c>
    </row>
    <row r="1013" spans="2:19" ht="26.25" hidden="1" thickBot="1">
      <c r="B1013" s="609">
        <v>101517</v>
      </c>
      <c r="C1013" s="610" t="s">
        <v>843</v>
      </c>
      <c r="D1013" s="611" t="s">
        <v>1145</v>
      </c>
      <c r="E1013" s="602"/>
      <c r="F1013" s="603"/>
      <c r="G1013" s="604"/>
      <c r="H1013" s="605"/>
      <c r="I1013" s="675">
        <v>584.26</v>
      </c>
      <c r="J1013" s="675">
        <f t="shared" si="270"/>
        <v>584.26</v>
      </c>
      <c r="K1013" s="606">
        <f t="shared" si="263"/>
        <v>709</v>
      </c>
      <c r="L1013" s="389" t="s">
        <v>21</v>
      </c>
      <c r="M1013" s="30"/>
      <c r="N1013" s="30"/>
      <c r="O1013" s="287">
        <f t="shared" si="264"/>
        <v>0</v>
      </c>
      <c r="P1013" s="287">
        <f t="shared" si="265"/>
        <v>0</v>
      </c>
      <c r="Q1013" s="288"/>
      <c r="R1013" s="243"/>
      <c r="S1013" s="385" t="str">
        <f t="shared" si="268"/>
        <v/>
      </c>
    </row>
    <row r="1014" spans="2:19" ht="26.25" hidden="1" thickBot="1">
      <c r="B1014" s="609">
        <v>101518</v>
      </c>
      <c r="C1014" s="610" t="s">
        <v>843</v>
      </c>
      <c r="D1014" s="611" t="s">
        <v>1146</v>
      </c>
      <c r="E1014" s="602"/>
      <c r="F1014" s="603"/>
      <c r="G1014" s="604"/>
      <c r="H1014" s="605"/>
      <c r="I1014" s="675">
        <v>677.45</v>
      </c>
      <c r="J1014" s="675">
        <f t="shared" si="270"/>
        <v>677.45</v>
      </c>
      <c r="K1014" s="606">
        <f t="shared" si="263"/>
        <v>822.09</v>
      </c>
      <c r="L1014" s="389" t="s">
        <v>21</v>
      </c>
      <c r="M1014" s="30"/>
      <c r="N1014" s="30"/>
      <c r="O1014" s="287">
        <f t="shared" si="264"/>
        <v>0</v>
      </c>
      <c r="P1014" s="287">
        <f t="shared" si="265"/>
        <v>0</v>
      </c>
      <c r="Q1014" s="288"/>
      <c r="R1014" s="243"/>
      <c r="S1014" s="385" t="str">
        <f t="shared" si="268"/>
        <v/>
      </c>
    </row>
    <row r="1015" spans="2:19" ht="26.25" hidden="1" thickBot="1">
      <c r="B1015" s="609">
        <v>101519</v>
      </c>
      <c r="C1015" s="610" t="s">
        <v>843</v>
      </c>
      <c r="D1015" s="611" t="s">
        <v>1147</v>
      </c>
      <c r="E1015" s="602"/>
      <c r="F1015" s="603"/>
      <c r="G1015" s="604"/>
      <c r="H1015" s="605"/>
      <c r="I1015" s="675">
        <v>707.68</v>
      </c>
      <c r="J1015" s="675">
        <f t="shared" si="270"/>
        <v>707.68</v>
      </c>
      <c r="K1015" s="606">
        <f t="shared" si="263"/>
        <v>858.77</v>
      </c>
      <c r="L1015" s="389" t="s">
        <v>21</v>
      </c>
      <c r="M1015" s="30"/>
      <c r="N1015" s="30"/>
      <c r="O1015" s="287">
        <f t="shared" si="264"/>
        <v>0</v>
      </c>
      <c r="P1015" s="287">
        <f t="shared" si="265"/>
        <v>0</v>
      </c>
      <c r="Q1015" s="288"/>
      <c r="R1015" s="243"/>
      <c r="S1015" s="385" t="str">
        <f t="shared" si="268"/>
        <v/>
      </c>
    </row>
    <row r="1016" spans="2:19" ht="26.25" hidden="1" thickBot="1">
      <c r="B1016" s="609">
        <v>101520</v>
      </c>
      <c r="C1016" s="610" t="s">
        <v>843</v>
      </c>
      <c r="D1016" s="611" t="s">
        <v>1148</v>
      </c>
      <c r="E1016" s="602"/>
      <c r="F1016" s="603"/>
      <c r="G1016" s="604"/>
      <c r="H1016" s="605"/>
      <c r="I1016" s="675">
        <v>812.75</v>
      </c>
      <c r="J1016" s="675">
        <f t="shared" si="270"/>
        <v>812.75</v>
      </c>
      <c r="K1016" s="606">
        <f t="shared" si="263"/>
        <v>986.27</v>
      </c>
      <c r="L1016" s="389" t="s">
        <v>21</v>
      </c>
      <c r="M1016" s="30"/>
      <c r="N1016" s="30"/>
      <c r="O1016" s="287">
        <f t="shared" si="264"/>
        <v>0</v>
      </c>
      <c r="P1016" s="287">
        <f t="shared" si="265"/>
        <v>0</v>
      </c>
      <c r="Q1016" s="288"/>
      <c r="R1016" s="243"/>
      <c r="S1016" s="385" t="str">
        <f t="shared" si="268"/>
        <v/>
      </c>
    </row>
    <row r="1017" spans="2:19" ht="26.25" hidden="1" thickBot="1">
      <c r="B1017" s="609">
        <v>101521</v>
      </c>
      <c r="C1017" s="610" t="s">
        <v>843</v>
      </c>
      <c r="D1017" s="611" t="s">
        <v>1149</v>
      </c>
      <c r="E1017" s="602"/>
      <c r="F1017" s="603"/>
      <c r="G1017" s="604"/>
      <c r="H1017" s="605"/>
      <c r="I1017" s="675">
        <v>814.38</v>
      </c>
      <c r="J1017" s="675">
        <f t="shared" si="270"/>
        <v>814.38</v>
      </c>
      <c r="K1017" s="606">
        <f t="shared" si="263"/>
        <v>988.25</v>
      </c>
      <c r="L1017" s="389" t="s">
        <v>21</v>
      </c>
      <c r="M1017" s="30"/>
      <c r="N1017" s="30"/>
      <c r="O1017" s="287">
        <f t="shared" si="264"/>
        <v>0</v>
      </c>
      <c r="P1017" s="287">
        <f t="shared" si="265"/>
        <v>0</v>
      </c>
      <c r="Q1017" s="288"/>
      <c r="R1017" s="243"/>
      <c r="S1017" s="385" t="str">
        <f t="shared" si="268"/>
        <v/>
      </c>
    </row>
    <row r="1018" spans="2:19" ht="26.25" hidden="1" thickBot="1">
      <c r="B1018" s="609">
        <v>101522</v>
      </c>
      <c r="C1018" s="610" t="s">
        <v>843</v>
      </c>
      <c r="D1018" s="611" t="s">
        <v>1150</v>
      </c>
      <c r="E1018" s="602"/>
      <c r="F1018" s="603"/>
      <c r="G1018" s="604"/>
      <c r="H1018" s="605"/>
      <c r="I1018" s="675">
        <v>954.17</v>
      </c>
      <c r="J1018" s="675">
        <f t="shared" si="270"/>
        <v>954.17</v>
      </c>
      <c r="K1018" s="606">
        <f t="shared" si="263"/>
        <v>1157.8900000000001</v>
      </c>
      <c r="L1018" s="389" t="s">
        <v>21</v>
      </c>
      <c r="M1018" s="30"/>
      <c r="N1018" s="30"/>
      <c r="O1018" s="287">
        <f t="shared" si="264"/>
        <v>0</v>
      </c>
      <c r="P1018" s="287">
        <f t="shared" si="265"/>
        <v>0</v>
      </c>
      <c r="Q1018" s="288"/>
      <c r="R1018" s="243"/>
      <c r="S1018" s="385" t="str">
        <f t="shared" si="268"/>
        <v/>
      </c>
    </row>
    <row r="1019" spans="2:19" ht="26.25" hidden="1" thickBot="1">
      <c r="B1019" s="609">
        <v>101523</v>
      </c>
      <c r="C1019" s="610" t="s">
        <v>843</v>
      </c>
      <c r="D1019" s="611" t="s">
        <v>1151</v>
      </c>
      <c r="E1019" s="602"/>
      <c r="F1019" s="603"/>
      <c r="G1019" s="604"/>
      <c r="H1019" s="605"/>
      <c r="I1019" s="675">
        <v>999.51</v>
      </c>
      <c r="J1019" s="675">
        <f t="shared" si="270"/>
        <v>999.51</v>
      </c>
      <c r="K1019" s="606">
        <f t="shared" si="263"/>
        <v>1212.9100000000001</v>
      </c>
      <c r="L1019" s="389" t="s">
        <v>21</v>
      </c>
      <c r="M1019" s="30"/>
      <c r="N1019" s="30"/>
      <c r="O1019" s="287">
        <f t="shared" si="264"/>
        <v>0</v>
      </c>
      <c r="P1019" s="287">
        <f t="shared" si="265"/>
        <v>0</v>
      </c>
      <c r="Q1019" s="288"/>
      <c r="R1019" s="243"/>
      <c r="S1019" s="385" t="str">
        <f t="shared" si="268"/>
        <v/>
      </c>
    </row>
    <row r="1020" spans="2:19" ht="26.25" hidden="1" thickBot="1">
      <c r="B1020" s="609">
        <v>101524</v>
      </c>
      <c r="C1020" s="610" t="s">
        <v>843</v>
      </c>
      <c r="D1020" s="611" t="s">
        <v>1152</v>
      </c>
      <c r="E1020" s="602"/>
      <c r="F1020" s="603"/>
      <c r="G1020" s="604"/>
      <c r="H1020" s="605"/>
      <c r="I1020" s="675">
        <v>1157.1199999999999</v>
      </c>
      <c r="J1020" s="675">
        <f t="shared" si="270"/>
        <v>1157.1199999999999</v>
      </c>
      <c r="K1020" s="606">
        <f t="shared" si="263"/>
        <v>1404.17</v>
      </c>
      <c r="L1020" s="389" t="s">
        <v>21</v>
      </c>
      <c r="M1020" s="30"/>
      <c r="N1020" s="30"/>
      <c r="O1020" s="287">
        <f t="shared" si="264"/>
        <v>0</v>
      </c>
      <c r="P1020" s="287">
        <f t="shared" si="265"/>
        <v>0</v>
      </c>
      <c r="Q1020" s="288"/>
      <c r="R1020" s="243"/>
      <c r="S1020" s="385" t="str">
        <f t="shared" ref="S1020:S1083" si="271">IF(R1020="x","x",IF(R1020="y","x",IF(R1020="xy","x",IF(P1020&gt;0,"x",""))))</f>
        <v/>
      </c>
    </row>
    <row r="1021" spans="2:19" ht="26.25" hidden="1" thickBot="1">
      <c r="B1021" s="609">
        <v>101525</v>
      </c>
      <c r="C1021" s="610" t="s">
        <v>843</v>
      </c>
      <c r="D1021" s="611" t="s">
        <v>1153</v>
      </c>
      <c r="E1021" s="602"/>
      <c r="F1021" s="603"/>
      <c r="G1021" s="604"/>
      <c r="H1021" s="605"/>
      <c r="I1021" s="675">
        <v>804.94</v>
      </c>
      <c r="J1021" s="675">
        <f t="shared" si="270"/>
        <v>804.94</v>
      </c>
      <c r="K1021" s="606">
        <f t="shared" si="263"/>
        <v>976.79</v>
      </c>
      <c r="L1021" s="389" t="s">
        <v>21</v>
      </c>
      <c r="M1021" s="30"/>
      <c r="N1021" s="30"/>
      <c r="O1021" s="287">
        <f t="shared" si="264"/>
        <v>0</v>
      </c>
      <c r="P1021" s="287">
        <f t="shared" si="265"/>
        <v>0</v>
      </c>
      <c r="Q1021" s="288"/>
      <c r="R1021" s="243"/>
      <c r="S1021" s="385" t="str">
        <f t="shared" si="271"/>
        <v/>
      </c>
    </row>
    <row r="1022" spans="2:19" ht="26.25" hidden="1" thickBot="1">
      <c r="B1022" s="609">
        <v>101526</v>
      </c>
      <c r="C1022" s="610" t="s">
        <v>843</v>
      </c>
      <c r="D1022" s="611" t="s">
        <v>1154</v>
      </c>
      <c r="E1022" s="602"/>
      <c r="F1022" s="603"/>
      <c r="G1022" s="604"/>
      <c r="H1022" s="605"/>
      <c r="I1022" s="675">
        <v>944.73</v>
      </c>
      <c r="J1022" s="675">
        <f t="shared" si="270"/>
        <v>944.73</v>
      </c>
      <c r="K1022" s="606">
        <f t="shared" si="263"/>
        <v>1146.43</v>
      </c>
      <c r="L1022" s="389" t="s">
        <v>21</v>
      </c>
      <c r="M1022" s="30"/>
      <c r="N1022" s="30"/>
      <c r="O1022" s="287">
        <f t="shared" si="264"/>
        <v>0</v>
      </c>
      <c r="P1022" s="287">
        <f t="shared" si="265"/>
        <v>0</v>
      </c>
      <c r="Q1022" s="288"/>
      <c r="R1022" s="243"/>
      <c r="S1022" s="385" t="str">
        <f t="shared" si="271"/>
        <v/>
      </c>
    </row>
    <row r="1023" spans="2:19" ht="26.25" hidden="1" thickBot="1">
      <c r="B1023" s="609">
        <v>101527</v>
      </c>
      <c r="C1023" s="610" t="s">
        <v>843</v>
      </c>
      <c r="D1023" s="611" t="s">
        <v>1155</v>
      </c>
      <c r="E1023" s="602"/>
      <c r="F1023" s="603"/>
      <c r="G1023" s="604"/>
      <c r="H1023" s="605"/>
      <c r="I1023" s="675">
        <v>990.07</v>
      </c>
      <c r="J1023" s="675">
        <f t="shared" si="270"/>
        <v>990.07</v>
      </c>
      <c r="K1023" s="606">
        <f t="shared" si="263"/>
        <v>1201.45</v>
      </c>
      <c r="L1023" s="389" t="s">
        <v>21</v>
      </c>
      <c r="M1023" s="30"/>
      <c r="N1023" s="30"/>
      <c r="O1023" s="287">
        <f t="shared" si="264"/>
        <v>0</v>
      </c>
      <c r="P1023" s="287">
        <f t="shared" si="265"/>
        <v>0</v>
      </c>
      <c r="Q1023" s="288"/>
      <c r="R1023" s="243"/>
      <c r="S1023" s="385" t="str">
        <f t="shared" si="271"/>
        <v/>
      </c>
    </row>
    <row r="1024" spans="2:19" ht="26.25" hidden="1" thickBot="1">
      <c r="B1024" s="609">
        <v>101528</v>
      </c>
      <c r="C1024" s="610" t="s">
        <v>843</v>
      </c>
      <c r="D1024" s="611" t="s">
        <v>1156</v>
      </c>
      <c r="E1024" s="602"/>
      <c r="F1024" s="603"/>
      <c r="G1024" s="604"/>
      <c r="H1024" s="605"/>
      <c r="I1024" s="675">
        <v>1147.68</v>
      </c>
      <c r="J1024" s="675">
        <f t="shared" si="270"/>
        <v>1147.68</v>
      </c>
      <c r="K1024" s="606">
        <f t="shared" si="263"/>
        <v>1392.71</v>
      </c>
      <c r="L1024" s="389" t="s">
        <v>21</v>
      </c>
      <c r="M1024" s="30"/>
      <c r="N1024" s="30"/>
      <c r="O1024" s="287">
        <f t="shared" si="264"/>
        <v>0</v>
      </c>
      <c r="P1024" s="287">
        <f t="shared" si="265"/>
        <v>0</v>
      </c>
      <c r="Q1024" s="288"/>
      <c r="R1024" s="243"/>
      <c r="S1024" s="385" t="str">
        <f t="shared" si="271"/>
        <v/>
      </c>
    </row>
    <row r="1025" spans="2:19" ht="26.25" hidden="1" thickBot="1">
      <c r="B1025" s="609">
        <v>101529</v>
      </c>
      <c r="C1025" s="610" t="s">
        <v>843</v>
      </c>
      <c r="D1025" s="611" t="s">
        <v>1157</v>
      </c>
      <c r="E1025" s="602"/>
      <c r="F1025" s="603"/>
      <c r="G1025" s="604"/>
      <c r="H1025" s="605"/>
      <c r="I1025" s="675">
        <v>926.47</v>
      </c>
      <c r="J1025" s="675">
        <f t="shared" si="270"/>
        <v>926.47</v>
      </c>
      <c r="K1025" s="606">
        <f t="shared" si="263"/>
        <v>1124.27</v>
      </c>
      <c r="L1025" s="389" t="s">
        <v>21</v>
      </c>
      <c r="M1025" s="30"/>
      <c r="N1025" s="30"/>
      <c r="O1025" s="287">
        <f t="shared" si="264"/>
        <v>0</v>
      </c>
      <c r="P1025" s="287">
        <f t="shared" si="265"/>
        <v>0</v>
      </c>
      <c r="Q1025" s="288"/>
      <c r="R1025" s="243"/>
      <c r="S1025" s="385" t="str">
        <f t="shared" si="271"/>
        <v/>
      </c>
    </row>
    <row r="1026" spans="2:19" ht="26.25" hidden="1" thickBot="1">
      <c r="B1026" s="609">
        <v>101530</v>
      </c>
      <c r="C1026" s="610" t="s">
        <v>843</v>
      </c>
      <c r="D1026" s="611" t="s">
        <v>1158</v>
      </c>
      <c r="E1026" s="602"/>
      <c r="F1026" s="603"/>
      <c r="G1026" s="604"/>
      <c r="H1026" s="605"/>
      <c r="I1026" s="675">
        <v>1112.8499999999999</v>
      </c>
      <c r="J1026" s="675">
        <f t="shared" si="270"/>
        <v>1112.8499999999999</v>
      </c>
      <c r="K1026" s="606">
        <f t="shared" si="263"/>
        <v>1350.44</v>
      </c>
      <c r="L1026" s="389" t="s">
        <v>21</v>
      </c>
      <c r="M1026" s="30"/>
      <c r="N1026" s="30"/>
      <c r="O1026" s="287">
        <f t="shared" si="264"/>
        <v>0</v>
      </c>
      <c r="P1026" s="287">
        <f t="shared" si="265"/>
        <v>0</v>
      </c>
      <c r="Q1026" s="288"/>
      <c r="R1026" s="243"/>
      <c r="S1026" s="385" t="str">
        <f t="shared" si="271"/>
        <v/>
      </c>
    </row>
    <row r="1027" spans="2:19" ht="26.25" hidden="1" thickBot="1">
      <c r="B1027" s="609">
        <v>101531</v>
      </c>
      <c r="C1027" s="610" t="s">
        <v>843</v>
      </c>
      <c r="D1027" s="611" t="s">
        <v>1159</v>
      </c>
      <c r="E1027" s="602"/>
      <c r="F1027" s="603"/>
      <c r="G1027" s="604"/>
      <c r="H1027" s="605"/>
      <c r="I1027" s="675">
        <v>1173.31</v>
      </c>
      <c r="J1027" s="675">
        <f t="shared" si="270"/>
        <v>1173.31</v>
      </c>
      <c r="K1027" s="606">
        <f t="shared" si="263"/>
        <v>1423.81</v>
      </c>
      <c r="L1027" s="389" t="s">
        <v>21</v>
      </c>
      <c r="M1027" s="30"/>
      <c r="N1027" s="30"/>
      <c r="O1027" s="287">
        <f t="shared" si="264"/>
        <v>0</v>
      </c>
      <c r="P1027" s="287">
        <f t="shared" si="265"/>
        <v>0</v>
      </c>
      <c r="Q1027" s="288"/>
      <c r="R1027" s="243"/>
      <c r="S1027" s="385" t="str">
        <f t="shared" si="271"/>
        <v/>
      </c>
    </row>
    <row r="1028" spans="2:19" ht="26.25" hidden="1" thickBot="1">
      <c r="B1028" s="609">
        <v>101532</v>
      </c>
      <c r="C1028" s="610" t="s">
        <v>843</v>
      </c>
      <c r="D1028" s="611" t="s">
        <v>1160</v>
      </c>
      <c r="E1028" s="602"/>
      <c r="F1028" s="603"/>
      <c r="G1028" s="604"/>
      <c r="H1028" s="605"/>
      <c r="I1028" s="675">
        <v>1383.45</v>
      </c>
      <c r="J1028" s="675">
        <f t="shared" si="270"/>
        <v>1383.45</v>
      </c>
      <c r="K1028" s="606">
        <f t="shared" si="263"/>
        <v>1678.82</v>
      </c>
      <c r="L1028" s="389" t="s">
        <v>21</v>
      </c>
      <c r="M1028" s="30"/>
      <c r="N1028" s="30"/>
      <c r="O1028" s="287">
        <f t="shared" si="264"/>
        <v>0</v>
      </c>
      <c r="P1028" s="287">
        <f t="shared" si="265"/>
        <v>0</v>
      </c>
      <c r="Q1028" s="288"/>
      <c r="R1028" s="243"/>
      <c r="S1028" s="385" t="str">
        <f t="shared" si="271"/>
        <v/>
      </c>
    </row>
    <row r="1029" spans="2:19" ht="26.25" hidden="1" thickBot="1">
      <c r="B1029" s="609">
        <v>101533</v>
      </c>
      <c r="C1029" s="610" t="s">
        <v>843</v>
      </c>
      <c r="D1029" s="611" t="s">
        <v>1161</v>
      </c>
      <c r="E1029" s="602"/>
      <c r="F1029" s="603"/>
      <c r="G1029" s="604"/>
      <c r="H1029" s="605"/>
      <c r="I1029" s="675">
        <v>1094.78</v>
      </c>
      <c r="J1029" s="675">
        <f t="shared" si="270"/>
        <v>1094.78</v>
      </c>
      <c r="K1029" s="606">
        <f t="shared" si="263"/>
        <v>1328.52</v>
      </c>
      <c r="L1029" s="389" t="s">
        <v>21</v>
      </c>
      <c r="M1029" s="30"/>
      <c r="N1029" s="30"/>
      <c r="O1029" s="287">
        <f t="shared" si="264"/>
        <v>0</v>
      </c>
      <c r="P1029" s="287">
        <f t="shared" si="265"/>
        <v>0</v>
      </c>
      <c r="Q1029" s="288"/>
      <c r="R1029" s="243"/>
      <c r="S1029" s="385" t="str">
        <f t="shared" si="271"/>
        <v/>
      </c>
    </row>
    <row r="1030" spans="2:19" ht="26.25" hidden="1" thickBot="1">
      <c r="B1030" s="609">
        <v>101534</v>
      </c>
      <c r="C1030" s="610" t="s">
        <v>843</v>
      </c>
      <c r="D1030" s="611" t="s">
        <v>1162</v>
      </c>
      <c r="E1030" s="602"/>
      <c r="F1030" s="603"/>
      <c r="G1030" s="604"/>
      <c r="H1030" s="605"/>
      <c r="I1030" s="675">
        <v>1281.1600000000001</v>
      </c>
      <c r="J1030" s="675">
        <f t="shared" si="270"/>
        <v>1281.1600000000001</v>
      </c>
      <c r="K1030" s="606">
        <f t="shared" si="263"/>
        <v>1554.69</v>
      </c>
      <c r="L1030" s="389" t="s">
        <v>21</v>
      </c>
      <c r="M1030" s="30"/>
      <c r="N1030" s="30"/>
      <c r="O1030" s="287">
        <f t="shared" si="264"/>
        <v>0</v>
      </c>
      <c r="P1030" s="287">
        <f t="shared" si="265"/>
        <v>0</v>
      </c>
      <c r="Q1030" s="288"/>
      <c r="R1030" s="243"/>
      <c r="S1030" s="385" t="str">
        <f t="shared" si="271"/>
        <v/>
      </c>
    </row>
    <row r="1031" spans="2:19" ht="26.25" hidden="1" thickBot="1">
      <c r="B1031" s="609">
        <v>101535</v>
      </c>
      <c r="C1031" s="610" t="s">
        <v>843</v>
      </c>
      <c r="D1031" s="611" t="s">
        <v>1163</v>
      </c>
      <c r="E1031" s="602"/>
      <c r="F1031" s="603"/>
      <c r="G1031" s="604"/>
      <c r="H1031" s="605"/>
      <c r="I1031" s="675">
        <v>1341.62</v>
      </c>
      <c r="J1031" s="675">
        <f t="shared" si="270"/>
        <v>1341.62</v>
      </c>
      <c r="K1031" s="606">
        <f t="shared" si="263"/>
        <v>1628.06</v>
      </c>
      <c r="L1031" s="389" t="s">
        <v>21</v>
      </c>
      <c r="M1031" s="30"/>
      <c r="N1031" s="30"/>
      <c r="O1031" s="287">
        <f t="shared" si="264"/>
        <v>0</v>
      </c>
      <c r="P1031" s="287">
        <f t="shared" si="265"/>
        <v>0</v>
      </c>
      <c r="Q1031" s="288"/>
      <c r="R1031" s="243"/>
      <c r="S1031" s="385" t="str">
        <f t="shared" si="271"/>
        <v/>
      </c>
    </row>
    <row r="1032" spans="2:19" ht="26.25" hidden="1" thickBot="1">
      <c r="B1032" s="609">
        <v>101536</v>
      </c>
      <c r="C1032" s="610" t="s">
        <v>843</v>
      </c>
      <c r="D1032" s="611" t="s">
        <v>1164</v>
      </c>
      <c r="E1032" s="602"/>
      <c r="F1032" s="603"/>
      <c r="G1032" s="604"/>
      <c r="H1032" s="605"/>
      <c r="I1032" s="675">
        <v>1551.76</v>
      </c>
      <c r="J1032" s="675">
        <f t="shared" si="270"/>
        <v>1551.76</v>
      </c>
      <c r="K1032" s="606">
        <f t="shared" si="263"/>
        <v>1883.06</v>
      </c>
      <c r="L1032" s="389" t="s">
        <v>21</v>
      </c>
      <c r="M1032" s="30"/>
      <c r="N1032" s="30"/>
      <c r="O1032" s="287">
        <f t="shared" si="264"/>
        <v>0</v>
      </c>
      <c r="P1032" s="287">
        <f t="shared" si="265"/>
        <v>0</v>
      </c>
      <c r="Q1032" s="288"/>
      <c r="R1032" s="243"/>
      <c r="S1032" s="385" t="str">
        <f t="shared" si="271"/>
        <v/>
      </c>
    </row>
    <row r="1033" spans="2:19" ht="26.25" hidden="1" thickBot="1">
      <c r="B1033" s="609" t="s">
        <v>1165</v>
      </c>
      <c r="C1033" s="610" t="s">
        <v>1166</v>
      </c>
      <c r="D1033" s="611" t="s">
        <v>1162</v>
      </c>
      <c r="E1033" s="602"/>
      <c r="F1033" s="603"/>
      <c r="G1033" s="604"/>
      <c r="H1033" s="605"/>
      <c r="I1033" s="675">
        <v>1465.21</v>
      </c>
      <c r="J1033" s="675">
        <f t="shared" si="270"/>
        <v>1465.21</v>
      </c>
      <c r="K1033" s="606">
        <f t="shared" si="263"/>
        <v>1778.03</v>
      </c>
      <c r="L1033" s="389" t="s">
        <v>21</v>
      </c>
      <c r="M1033" s="30"/>
      <c r="N1033" s="30"/>
      <c r="O1033" s="287">
        <f t="shared" si="264"/>
        <v>0</v>
      </c>
      <c r="P1033" s="287">
        <f t="shared" si="265"/>
        <v>0</v>
      </c>
      <c r="Q1033" s="288"/>
      <c r="R1033" s="243"/>
      <c r="S1033" s="385" t="str">
        <f t="shared" si="271"/>
        <v/>
      </c>
    </row>
    <row r="1034" spans="2:19" ht="26.25" hidden="1" thickBot="1">
      <c r="B1034" s="609" t="s">
        <v>1167</v>
      </c>
      <c r="C1034" s="610" t="s">
        <v>1166</v>
      </c>
      <c r="D1034" s="611" t="s">
        <v>1163</v>
      </c>
      <c r="E1034" s="602"/>
      <c r="F1034" s="603"/>
      <c r="G1034" s="604"/>
      <c r="H1034" s="605"/>
      <c r="I1034" s="675">
        <v>1638.59</v>
      </c>
      <c r="J1034" s="675">
        <f t="shared" si="270"/>
        <v>1638.59</v>
      </c>
      <c r="K1034" s="606">
        <f t="shared" si="263"/>
        <v>1988.43</v>
      </c>
      <c r="L1034" s="389" t="s">
        <v>21</v>
      </c>
      <c r="M1034" s="30"/>
      <c r="N1034" s="30"/>
      <c r="O1034" s="287">
        <f t="shared" si="264"/>
        <v>0</v>
      </c>
      <c r="P1034" s="287">
        <f t="shared" si="265"/>
        <v>0</v>
      </c>
      <c r="Q1034" s="288"/>
      <c r="R1034" s="243"/>
      <c r="S1034" s="385" t="str">
        <f t="shared" si="271"/>
        <v/>
      </c>
    </row>
    <row r="1035" spans="2:19" ht="26.25" hidden="1" thickBot="1">
      <c r="B1035" s="609" t="s">
        <v>1168</v>
      </c>
      <c r="C1035" s="610" t="s">
        <v>1166</v>
      </c>
      <c r="D1035" s="611" t="s">
        <v>1164</v>
      </c>
      <c r="E1035" s="602"/>
      <c r="F1035" s="603"/>
      <c r="G1035" s="604"/>
      <c r="H1035" s="605"/>
      <c r="I1035" s="675">
        <v>2025.2</v>
      </c>
      <c r="J1035" s="675">
        <f t="shared" si="270"/>
        <v>2025.2</v>
      </c>
      <c r="K1035" s="606">
        <f t="shared" si="263"/>
        <v>2457.58</v>
      </c>
      <c r="L1035" s="389" t="s">
        <v>21</v>
      </c>
      <c r="M1035" s="30"/>
      <c r="N1035" s="30"/>
      <c r="O1035" s="287">
        <f t="shared" si="264"/>
        <v>0</v>
      </c>
      <c r="P1035" s="287">
        <f t="shared" si="265"/>
        <v>0</v>
      </c>
      <c r="Q1035" s="288"/>
      <c r="R1035" s="243"/>
      <c r="S1035" s="385" t="str">
        <f t="shared" si="271"/>
        <v/>
      </c>
    </row>
    <row r="1036" spans="2:19" ht="13.5" hidden="1" thickBot="1">
      <c r="B1036" s="609" t="s">
        <v>1169</v>
      </c>
      <c r="C1036" s="610" t="s">
        <v>1166</v>
      </c>
      <c r="D1036" s="611" t="s">
        <v>1170</v>
      </c>
      <c r="E1036" s="602"/>
      <c r="F1036" s="603"/>
      <c r="G1036" s="604"/>
      <c r="H1036" s="605"/>
      <c r="I1036" s="675">
        <v>2332.25</v>
      </c>
      <c r="J1036" s="675">
        <f t="shared" si="270"/>
        <v>2332.25</v>
      </c>
      <c r="K1036" s="606">
        <f t="shared" si="263"/>
        <v>2830.19</v>
      </c>
      <c r="L1036" s="389" t="s">
        <v>21</v>
      </c>
      <c r="M1036" s="30"/>
      <c r="N1036" s="30"/>
      <c r="O1036" s="287">
        <f t="shared" si="264"/>
        <v>0</v>
      </c>
      <c r="P1036" s="287">
        <f t="shared" si="265"/>
        <v>0</v>
      </c>
      <c r="Q1036" s="288"/>
      <c r="R1036" s="243"/>
      <c r="S1036" s="385" t="str">
        <f t="shared" si="271"/>
        <v/>
      </c>
    </row>
    <row r="1037" spans="2:19" ht="13.5" hidden="1" thickBot="1">
      <c r="B1037" s="609" t="s">
        <v>1171</v>
      </c>
      <c r="C1037" s="610" t="s">
        <v>1166</v>
      </c>
      <c r="D1037" s="611" t="s">
        <v>1172</v>
      </c>
      <c r="E1037" s="602"/>
      <c r="F1037" s="603"/>
      <c r="G1037" s="604"/>
      <c r="H1037" s="605"/>
      <c r="I1037" s="675">
        <v>3687.03</v>
      </c>
      <c r="J1037" s="675">
        <f t="shared" si="270"/>
        <v>3687.03</v>
      </c>
      <c r="K1037" s="606">
        <f t="shared" si="263"/>
        <v>4474.21</v>
      </c>
      <c r="L1037" s="389" t="s">
        <v>21</v>
      </c>
      <c r="M1037" s="30"/>
      <c r="N1037" s="30"/>
      <c r="O1037" s="287">
        <f t="shared" si="264"/>
        <v>0</v>
      </c>
      <c r="P1037" s="287">
        <f t="shared" si="265"/>
        <v>0</v>
      </c>
      <c r="Q1037" s="288"/>
      <c r="R1037" s="243"/>
      <c r="S1037" s="385" t="str">
        <f t="shared" si="271"/>
        <v/>
      </c>
    </row>
    <row r="1038" spans="2:19" ht="13.5" hidden="1" thickBot="1">
      <c r="B1038" s="609" t="s">
        <v>1173</v>
      </c>
      <c r="C1038" s="610" t="s">
        <v>1166</v>
      </c>
      <c r="D1038" s="611" t="s">
        <v>1174</v>
      </c>
      <c r="E1038" s="602"/>
      <c r="F1038" s="603"/>
      <c r="G1038" s="604"/>
      <c r="H1038" s="605"/>
      <c r="I1038" s="675">
        <v>4630.3</v>
      </c>
      <c r="J1038" s="675">
        <f t="shared" si="270"/>
        <v>4630.3</v>
      </c>
      <c r="K1038" s="606">
        <f t="shared" si="263"/>
        <v>5618.87</v>
      </c>
      <c r="L1038" s="389" t="s">
        <v>21</v>
      </c>
      <c r="M1038" s="30"/>
      <c r="N1038" s="30"/>
      <c r="O1038" s="287">
        <f t="shared" si="264"/>
        <v>0</v>
      </c>
      <c r="P1038" s="287">
        <f t="shared" si="265"/>
        <v>0</v>
      </c>
      <c r="Q1038" s="288"/>
      <c r="R1038" s="243"/>
      <c r="S1038" s="385" t="str">
        <f t="shared" si="271"/>
        <v/>
      </c>
    </row>
    <row r="1039" spans="2:19" ht="13.5" hidden="1" thickBot="1">
      <c r="B1039" s="609">
        <v>96984</v>
      </c>
      <c r="C1039" s="610" t="s">
        <v>843</v>
      </c>
      <c r="D1039" s="611" t="s">
        <v>1175</v>
      </c>
      <c r="E1039" s="602"/>
      <c r="F1039" s="603"/>
      <c r="G1039" s="604"/>
      <c r="H1039" s="605"/>
      <c r="I1039" s="675">
        <v>52.25</v>
      </c>
      <c r="J1039" s="675">
        <f t="shared" si="270"/>
        <v>52.25</v>
      </c>
      <c r="K1039" s="606">
        <f t="shared" si="263"/>
        <v>63.41</v>
      </c>
      <c r="L1039" s="389" t="s">
        <v>21</v>
      </c>
      <c r="M1039" s="30"/>
      <c r="N1039" s="30"/>
      <c r="O1039" s="287">
        <f t="shared" si="264"/>
        <v>0</v>
      </c>
      <c r="P1039" s="287">
        <f t="shared" si="265"/>
        <v>0</v>
      </c>
      <c r="Q1039" s="288"/>
      <c r="R1039" s="243"/>
      <c r="S1039" s="385" t="str">
        <f t="shared" si="271"/>
        <v/>
      </c>
    </row>
    <row r="1040" spans="2:19" ht="26.25" hidden="1" thickBot="1">
      <c r="B1040" s="609">
        <v>91831</v>
      </c>
      <c r="C1040" s="610" t="s">
        <v>843</v>
      </c>
      <c r="D1040" s="611" t="s">
        <v>1176</v>
      </c>
      <c r="E1040" s="602"/>
      <c r="F1040" s="603"/>
      <c r="G1040" s="604"/>
      <c r="H1040" s="605"/>
      <c r="I1040" s="675">
        <v>7.09</v>
      </c>
      <c r="J1040" s="675">
        <f t="shared" si="270"/>
        <v>7.09</v>
      </c>
      <c r="K1040" s="606">
        <f t="shared" si="263"/>
        <v>8.6</v>
      </c>
      <c r="L1040" s="389" t="s">
        <v>19</v>
      </c>
      <c r="M1040" s="30"/>
      <c r="N1040" s="30"/>
      <c r="O1040" s="287">
        <f t="shared" si="264"/>
        <v>0</v>
      </c>
      <c r="P1040" s="287">
        <f t="shared" si="265"/>
        <v>0</v>
      </c>
      <c r="Q1040" s="288"/>
      <c r="R1040" s="243"/>
      <c r="S1040" s="385" t="str">
        <f t="shared" si="271"/>
        <v/>
      </c>
    </row>
    <row r="1041" spans="2:19" ht="26.25" hidden="1" thickBot="1">
      <c r="B1041" s="609">
        <v>91834</v>
      </c>
      <c r="C1041" s="610" t="s">
        <v>843</v>
      </c>
      <c r="D1041" s="611" t="s">
        <v>1177</v>
      </c>
      <c r="E1041" s="602"/>
      <c r="F1041" s="603"/>
      <c r="G1041" s="604"/>
      <c r="H1041" s="605"/>
      <c r="I1041" s="675">
        <v>7.94</v>
      </c>
      <c r="J1041" s="675">
        <f t="shared" si="270"/>
        <v>7.94</v>
      </c>
      <c r="K1041" s="606">
        <f t="shared" si="263"/>
        <v>9.64</v>
      </c>
      <c r="L1041" s="389" t="s">
        <v>19</v>
      </c>
      <c r="M1041" s="30"/>
      <c r="N1041" s="30"/>
      <c r="O1041" s="287">
        <f t="shared" si="264"/>
        <v>0</v>
      </c>
      <c r="P1041" s="287">
        <f t="shared" si="265"/>
        <v>0</v>
      </c>
      <c r="Q1041" s="288"/>
      <c r="R1041" s="243"/>
      <c r="S1041" s="385" t="str">
        <f t="shared" si="271"/>
        <v/>
      </c>
    </row>
    <row r="1042" spans="2:19" ht="26.25" hidden="1" thickBot="1">
      <c r="B1042" s="609">
        <v>91836</v>
      </c>
      <c r="C1042" s="610" t="s">
        <v>843</v>
      </c>
      <c r="D1042" s="611" t="s">
        <v>1178</v>
      </c>
      <c r="E1042" s="602"/>
      <c r="F1042" s="603"/>
      <c r="G1042" s="604"/>
      <c r="H1042" s="605"/>
      <c r="I1042" s="675">
        <v>10.35</v>
      </c>
      <c r="J1042" s="675">
        <f t="shared" si="270"/>
        <v>10.35</v>
      </c>
      <c r="K1042" s="606">
        <f t="shared" si="263"/>
        <v>12.56</v>
      </c>
      <c r="L1042" s="389" t="s">
        <v>19</v>
      </c>
      <c r="M1042" s="30"/>
      <c r="N1042" s="30"/>
      <c r="O1042" s="287">
        <f t="shared" si="264"/>
        <v>0</v>
      </c>
      <c r="P1042" s="287">
        <f t="shared" si="265"/>
        <v>0</v>
      </c>
      <c r="Q1042" s="288"/>
      <c r="R1042" s="243"/>
      <c r="S1042" s="385" t="str">
        <f t="shared" si="271"/>
        <v/>
      </c>
    </row>
    <row r="1043" spans="2:19" ht="26.25" hidden="1" thickBot="1">
      <c r="B1043" s="609">
        <v>91842</v>
      </c>
      <c r="C1043" s="610" t="s">
        <v>843</v>
      </c>
      <c r="D1043" s="611" t="s">
        <v>1179</v>
      </c>
      <c r="E1043" s="602"/>
      <c r="F1043" s="603"/>
      <c r="G1043" s="604"/>
      <c r="H1043" s="605"/>
      <c r="I1043" s="675">
        <v>5.22</v>
      </c>
      <c r="J1043" s="675">
        <f t="shared" si="270"/>
        <v>5.22</v>
      </c>
      <c r="K1043" s="606">
        <f t="shared" si="263"/>
        <v>6.33</v>
      </c>
      <c r="L1043" s="389" t="s">
        <v>19</v>
      </c>
      <c r="M1043" s="30"/>
      <c r="N1043" s="30"/>
      <c r="O1043" s="287">
        <f t="shared" si="264"/>
        <v>0</v>
      </c>
      <c r="P1043" s="287">
        <f t="shared" si="265"/>
        <v>0</v>
      </c>
      <c r="Q1043" s="288"/>
      <c r="R1043" s="243"/>
      <c r="S1043" s="385" t="str">
        <f t="shared" si="271"/>
        <v/>
      </c>
    </row>
    <row r="1044" spans="2:19" ht="26.25" hidden="1" thickBot="1">
      <c r="B1044" s="609">
        <v>91844</v>
      </c>
      <c r="C1044" s="610" t="s">
        <v>843</v>
      </c>
      <c r="D1044" s="611" t="s">
        <v>1180</v>
      </c>
      <c r="E1044" s="602"/>
      <c r="F1044" s="603"/>
      <c r="G1044" s="604"/>
      <c r="H1044" s="605"/>
      <c r="I1044" s="675">
        <v>6.07</v>
      </c>
      <c r="J1044" s="675">
        <f t="shared" si="270"/>
        <v>6.07</v>
      </c>
      <c r="K1044" s="606">
        <f t="shared" si="263"/>
        <v>7.37</v>
      </c>
      <c r="L1044" s="389" t="s">
        <v>19</v>
      </c>
      <c r="M1044" s="30"/>
      <c r="N1044" s="30"/>
      <c r="O1044" s="287">
        <f t="shared" si="264"/>
        <v>0</v>
      </c>
      <c r="P1044" s="287">
        <f t="shared" si="265"/>
        <v>0</v>
      </c>
      <c r="Q1044" s="288"/>
      <c r="R1044" s="243"/>
      <c r="S1044" s="385" t="str">
        <f t="shared" si="271"/>
        <v/>
      </c>
    </row>
    <row r="1045" spans="2:19" ht="26.25" hidden="1" thickBot="1">
      <c r="B1045" s="609">
        <v>91846</v>
      </c>
      <c r="C1045" s="610" t="s">
        <v>843</v>
      </c>
      <c r="D1045" s="611" t="s">
        <v>1181</v>
      </c>
      <c r="E1045" s="602"/>
      <c r="F1045" s="603"/>
      <c r="G1045" s="604"/>
      <c r="H1045" s="605"/>
      <c r="I1045" s="675">
        <v>8.48</v>
      </c>
      <c r="J1045" s="675">
        <f t="shared" si="270"/>
        <v>8.48</v>
      </c>
      <c r="K1045" s="606">
        <f t="shared" si="263"/>
        <v>10.29</v>
      </c>
      <c r="L1045" s="389" t="s">
        <v>19</v>
      </c>
      <c r="M1045" s="30"/>
      <c r="N1045" s="30"/>
      <c r="O1045" s="287">
        <f t="shared" si="264"/>
        <v>0</v>
      </c>
      <c r="P1045" s="287">
        <f t="shared" si="265"/>
        <v>0</v>
      </c>
      <c r="Q1045" s="288"/>
      <c r="R1045" s="243"/>
      <c r="S1045" s="385" t="str">
        <f t="shared" si="271"/>
        <v/>
      </c>
    </row>
    <row r="1046" spans="2:19" ht="26.25" hidden="1" thickBot="1">
      <c r="B1046" s="609">
        <v>91852</v>
      </c>
      <c r="C1046" s="610" t="s">
        <v>843</v>
      </c>
      <c r="D1046" s="611" t="s">
        <v>1182</v>
      </c>
      <c r="E1046" s="602"/>
      <c r="F1046" s="603"/>
      <c r="G1046" s="604"/>
      <c r="H1046" s="605"/>
      <c r="I1046" s="675">
        <v>7.61</v>
      </c>
      <c r="J1046" s="675">
        <f t="shared" si="270"/>
        <v>7.61</v>
      </c>
      <c r="K1046" s="606">
        <f t="shared" si="263"/>
        <v>9.23</v>
      </c>
      <c r="L1046" s="389" t="s">
        <v>19</v>
      </c>
      <c r="M1046" s="30"/>
      <c r="N1046" s="30"/>
      <c r="O1046" s="287">
        <f t="shared" si="264"/>
        <v>0</v>
      </c>
      <c r="P1046" s="287">
        <f t="shared" si="265"/>
        <v>0</v>
      </c>
      <c r="Q1046" s="288"/>
      <c r="R1046" s="243"/>
      <c r="S1046" s="385" t="str">
        <f t="shared" si="271"/>
        <v/>
      </c>
    </row>
    <row r="1047" spans="2:19" ht="26.25" hidden="1" thickBot="1">
      <c r="B1047" s="609">
        <v>91854</v>
      </c>
      <c r="C1047" s="610" t="s">
        <v>843</v>
      </c>
      <c r="D1047" s="611" t="s">
        <v>1183</v>
      </c>
      <c r="E1047" s="602"/>
      <c r="F1047" s="603"/>
      <c r="G1047" s="604"/>
      <c r="H1047" s="605"/>
      <c r="I1047" s="675">
        <v>8.44</v>
      </c>
      <c r="J1047" s="675">
        <f t="shared" si="270"/>
        <v>8.44</v>
      </c>
      <c r="K1047" s="606">
        <f t="shared" si="263"/>
        <v>10.24</v>
      </c>
      <c r="L1047" s="389" t="s">
        <v>19</v>
      </c>
      <c r="M1047" s="30"/>
      <c r="N1047" s="30"/>
      <c r="O1047" s="287">
        <f t="shared" si="264"/>
        <v>0</v>
      </c>
      <c r="P1047" s="287">
        <f t="shared" si="265"/>
        <v>0</v>
      </c>
      <c r="Q1047" s="288"/>
      <c r="R1047" s="243"/>
      <c r="S1047" s="385" t="str">
        <f t="shared" si="271"/>
        <v/>
      </c>
    </row>
    <row r="1048" spans="2:19" ht="26.25" hidden="1" thickBot="1">
      <c r="B1048" s="609">
        <v>91856</v>
      </c>
      <c r="C1048" s="610" t="s">
        <v>843</v>
      </c>
      <c r="D1048" s="611" t="s">
        <v>1184</v>
      </c>
      <c r="E1048" s="602"/>
      <c r="F1048" s="603"/>
      <c r="G1048" s="604"/>
      <c r="H1048" s="605"/>
      <c r="I1048" s="675">
        <v>10.73</v>
      </c>
      <c r="J1048" s="675">
        <f t="shared" si="270"/>
        <v>10.73</v>
      </c>
      <c r="K1048" s="606">
        <f t="shared" si="263"/>
        <v>13.02</v>
      </c>
      <c r="L1048" s="389" t="s">
        <v>19</v>
      </c>
      <c r="M1048" s="30"/>
      <c r="N1048" s="30"/>
      <c r="O1048" s="287">
        <f t="shared" si="264"/>
        <v>0</v>
      </c>
      <c r="P1048" s="287">
        <f t="shared" si="265"/>
        <v>0</v>
      </c>
      <c r="Q1048" s="288"/>
      <c r="R1048" s="243"/>
      <c r="S1048" s="385" t="str">
        <f t="shared" si="271"/>
        <v/>
      </c>
    </row>
    <row r="1049" spans="2:19" ht="26.25" hidden="1" thickBot="1">
      <c r="B1049" s="609">
        <v>91833</v>
      </c>
      <c r="C1049" s="610" t="s">
        <v>843</v>
      </c>
      <c r="D1049" s="611" t="s">
        <v>1185</v>
      </c>
      <c r="E1049" s="602"/>
      <c r="F1049" s="603"/>
      <c r="G1049" s="604"/>
      <c r="H1049" s="605"/>
      <c r="I1049" s="675">
        <v>7.52</v>
      </c>
      <c r="J1049" s="675">
        <f t="shared" si="270"/>
        <v>7.52</v>
      </c>
      <c r="K1049" s="606">
        <f t="shared" si="263"/>
        <v>9.1300000000000008</v>
      </c>
      <c r="L1049" s="389" t="s">
        <v>19</v>
      </c>
      <c r="M1049" s="30"/>
      <c r="N1049" s="30"/>
      <c r="O1049" s="287">
        <f t="shared" si="264"/>
        <v>0</v>
      </c>
      <c r="P1049" s="287">
        <f t="shared" si="265"/>
        <v>0</v>
      </c>
      <c r="Q1049" s="288"/>
      <c r="R1049" s="243"/>
      <c r="S1049" s="385" t="str">
        <f t="shared" si="271"/>
        <v/>
      </c>
    </row>
    <row r="1050" spans="2:19" ht="26.25" hidden="1" thickBot="1">
      <c r="B1050" s="609">
        <v>91835</v>
      </c>
      <c r="C1050" s="610" t="s">
        <v>843</v>
      </c>
      <c r="D1050" s="611" t="s">
        <v>1186</v>
      </c>
      <c r="E1050" s="602"/>
      <c r="F1050" s="603"/>
      <c r="G1050" s="604"/>
      <c r="H1050" s="605"/>
      <c r="I1050" s="675">
        <v>9.0500000000000007</v>
      </c>
      <c r="J1050" s="675">
        <f t="shared" si="270"/>
        <v>9.0500000000000007</v>
      </c>
      <c r="K1050" s="606">
        <f t="shared" si="263"/>
        <v>10.98</v>
      </c>
      <c r="L1050" s="389" t="s">
        <v>19</v>
      </c>
      <c r="M1050" s="30"/>
      <c r="N1050" s="30"/>
      <c r="O1050" s="287">
        <f t="shared" si="264"/>
        <v>0</v>
      </c>
      <c r="P1050" s="287">
        <f t="shared" si="265"/>
        <v>0</v>
      </c>
      <c r="Q1050" s="288"/>
      <c r="R1050" s="243"/>
      <c r="S1050" s="385" t="str">
        <f t="shared" si="271"/>
        <v/>
      </c>
    </row>
    <row r="1051" spans="2:19" ht="26.25" hidden="1" thickBot="1">
      <c r="B1051" s="609">
        <v>91837</v>
      </c>
      <c r="C1051" s="610" t="s">
        <v>843</v>
      </c>
      <c r="D1051" s="611" t="s">
        <v>1187</v>
      </c>
      <c r="E1051" s="602"/>
      <c r="F1051" s="603"/>
      <c r="G1051" s="604"/>
      <c r="H1051" s="605"/>
      <c r="I1051" s="675">
        <v>12.95</v>
      </c>
      <c r="J1051" s="675">
        <f t="shared" si="270"/>
        <v>12.95</v>
      </c>
      <c r="K1051" s="606">
        <f t="shared" si="263"/>
        <v>15.71</v>
      </c>
      <c r="L1051" s="389" t="s">
        <v>19</v>
      </c>
      <c r="M1051" s="30"/>
      <c r="N1051" s="30"/>
      <c r="O1051" s="287">
        <f t="shared" si="264"/>
        <v>0</v>
      </c>
      <c r="P1051" s="287">
        <f t="shared" si="265"/>
        <v>0</v>
      </c>
      <c r="Q1051" s="288"/>
      <c r="R1051" s="243"/>
      <c r="S1051" s="385" t="str">
        <f t="shared" si="271"/>
        <v/>
      </c>
    </row>
    <row r="1052" spans="2:19" ht="26.25" hidden="1" thickBot="1">
      <c r="B1052" s="609">
        <v>91843</v>
      </c>
      <c r="C1052" s="610" t="s">
        <v>843</v>
      </c>
      <c r="D1052" s="611" t="s">
        <v>1188</v>
      </c>
      <c r="E1052" s="602"/>
      <c r="F1052" s="603"/>
      <c r="G1052" s="604"/>
      <c r="H1052" s="605"/>
      <c r="I1052" s="675">
        <v>5.65</v>
      </c>
      <c r="J1052" s="675">
        <f t="shared" ref="J1052:J1115" si="272">IF(ISBLANK(I1052),"",SUM(H1052:I1052))</f>
        <v>5.65</v>
      </c>
      <c r="K1052" s="606">
        <f t="shared" si="263"/>
        <v>6.86</v>
      </c>
      <c r="L1052" s="389" t="s">
        <v>19</v>
      </c>
      <c r="M1052" s="30"/>
      <c r="N1052" s="30"/>
      <c r="O1052" s="287">
        <f t="shared" si="264"/>
        <v>0</v>
      </c>
      <c r="P1052" s="287">
        <f t="shared" si="265"/>
        <v>0</v>
      </c>
      <c r="Q1052" s="288"/>
      <c r="R1052" s="243"/>
      <c r="S1052" s="385" t="str">
        <f t="shared" si="271"/>
        <v/>
      </c>
    </row>
    <row r="1053" spans="2:19" ht="26.25" hidden="1" thickBot="1">
      <c r="B1053" s="609">
        <v>91845</v>
      </c>
      <c r="C1053" s="610" t="s">
        <v>843</v>
      </c>
      <c r="D1053" s="611" t="s">
        <v>1189</v>
      </c>
      <c r="E1053" s="602"/>
      <c r="F1053" s="603"/>
      <c r="G1053" s="604"/>
      <c r="H1053" s="605"/>
      <c r="I1053" s="675">
        <v>7.18</v>
      </c>
      <c r="J1053" s="675">
        <f t="shared" si="272"/>
        <v>7.18</v>
      </c>
      <c r="K1053" s="606">
        <f t="shared" si="263"/>
        <v>8.7100000000000009</v>
      </c>
      <c r="L1053" s="389" t="s">
        <v>19</v>
      </c>
      <c r="M1053" s="30"/>
      <c r="N1053" s="30"/>
      <c r="O1053" s="287">
        <f t="shared" si="264"/>
        <v>0</v>
      </c>
      <c r="P1053" s="287">
        <f t="shared" si="265"/>
        <v>0</v>
      </c>
      <c r="Q1053" s="288"/>
      <c r="R1053" s="243"/>
      <c r="S1053" s="385" t="str">
        <f t="shared" si="271"/>
        <v/>
      </c>
    </row>
    <row r="1054" spans="2:19" ht="26.25" hidden="1" thickBot="1">
      <c r="B1054" s="609">
        <v>91847</v>
      </c>
      <c r="C1054" s="610" t="s">
        <v>843</v>
      </c>
      <c r="D1054" s="611" t="s">
        <v>1190</v>
      </c>
      <c r="E1054" s="602"/>
      <c r="F1054" s="603"/>
      <c r="G1054" s="604"/>
      <c r="H1054" s="605"/>
      <c r="I1054" s="675">
        <v>11.08</v>
      </c>
      <c r="J1054" s="675">
        <f t="shared" si="272"/>
        <v>11.08</v>
      </c>
      <c r="K1054" s="606">
        <f t="shared" si="263"/>
        <v>13.45</v>
      </c>
      <c r="L1054" s="389" t="s">
        <v>19</v>
      </c>
      <c r="M1054" s="30"/>
      <c r="N1054" s="30"/>
      <c r="O1054" s="287">
        <f t="shared" si="264"/>
        <v>0</v>
      </c>
      <c r="P1054" s="287">
        <f t="shared" si="265"/>
        <v>0</v>
      </c>
      <c r="Q1054" s="288"/>
      <c r="R1054" s="243"/>
      <c r="S1054" s="385" t="str">
        <f t="shared" si="271"/>
        <v/>
      </c>
    </row>
    <row r="1055" spans="2:19" ht="26.25" hidden="1" thickBot="1">
      <c r="B1055" s="609">
        <v>91853</v>
      </c>
      <c r="C1055" s="610" t="s">
        <v>843</v>
      </c>
      <c r="D1055" s="611" t="s">
        <v>1191</v>
      </c>
      <c r="E1055" s="602"/>
      <c r="F1055" s="603"/>
      <c r="G1055" s="604"/>
      <c r="H1055" s="605"/>
      <c r="I1055" s="675">
        <v>8</v>
      </c>
      <c r="J1055" s="675">
        <f t="shared" si="272"/>
        <v>8</v>
      </c>
      <c r="K1055" s="606">
        <f t="shared" si="263"/>
        <v>9.7100000000000009</v>
      </c>
      <c r="L1055" s="389" t="s">
        <v>19</v>
      </c>
      <c r="M1055" s="30"/>
      <c r="N1055" s="30"/>
      <c r="O1055" s="287">
        <f t="shared" si="264"/>
        <v>0</v>
      </c>
      <c r="P1055" s="287">
        <f t="shared" si="265"/>
        <v>0</v>
      </c>
      <c r="Q1055" s="288"/>
      <c r="R1055" s="243"/>
      <c r="S1055" s="385" t="str">
        <f t="shared" si="271"/>
        <v/>
      </c>
    </row>
    <row r="1056" spans="2:19" ht="26.25" hidden="1" thickBot="1">
      <c r="B1056" s="609">
        <v>91855</v>
      </c>
      <c r="C1056" s="610" t="s">
        <v>843</v>
      </c>
      <c r="D1056" s="611" t="s">
        <v>1192</v>
      </c>
      <c r="E1056" s="602"/>
      <c r="F1056" s="603"/>
      <c r="G1056" s="604"/>
      <c r="H1056" s="605"/>
      <c r="I1056" s="675">
        <v>9.4700000000000006</v>
      </c>
      <c r="J1056" s="675">
        <f t="shared" si="272"/>
        <v>9.4700000000000006</v>
      </c>
      <c r="K1056" s="606">
        <f t="shared" si="263"/>
        <v>11.49</v>
      </c>
      <c r="L1056" s="389" t="s">
        <v>19</v>
      </c>
      <c r="M1056" s="30"/>
      <c r="N1056" s="30"/>
      <c r="O1056" s="287">
        <f t="shared" si="264"/>
        <v>0</v>
      </c>
      <c r="P1056" s="287">
        <f t="shared" si="265"/>
        <v>0</v>
      </c>
      <c r="Q1056" s="288"/>
      <c r="R1056" s="243"/>
      <c r="S1056" s="385" t="str">
        <f t="shared" si="271"/>
        <v/>
      </c>
    </row>
    <row r="1057" spans="2:19" ht="26.25" hidden="1" thickBot="1">
      <c r="B1057" s="609">
        <v>91857</v>
      </c>
      <c r="C1057" s="610" t="s">
        <v>843</v>
      </c>
      <c r="D1057" s="611" t="s">
        <v>1193</v>
      </c>
      <c r="E1057" s="602"/>
      <c r="F1057" s="603"/>
      <c r="G1057" s="604"/>
      <c r="H1057" s="605"/>
      <c r="I1057" s="675">
        <v>13.14</v>
      </c>
      <c r="J1057" s="675">
        <f t="shared" si="272"/>
        <v>13.14</v>
      </c>
      <c r="K1057" s="606">
        <f t="shared" si="263"/>
        <v>15.95</v>
      </c>
      <c r="L1057" s="389" t="s">
        <v>19</v>
      </c>
      <c r="M1057" s="30"/>
      <c r="N1057" s="30"/>
      <c r="O1057" s="287">
        <f t="shared" si="264"/>
        <v>0</v>
      </c>
      <c r="P1057" s="287">
        <f t="shared" si="265"/>
        <v>0</v>
      </c>
      <c r="Q1057" s="288"/>
      <c r="R1057" s="243"/>
      <c r="S1057" s="385" t="str">
        <f t="shared" si="271"/>
        <v/>
      </c>
    </row>
    <row r="1058" spans="2:19" ht="26.25" hidden="1" thickBot="1">
      <c r="B1058" s="609">
        <v>91874</v>
      </c>
      <c r="C1058" s="610" t="s">
        <v>843</v>
      </c>
      <c r="D1058" s="611" t="s">
        <v>1194</v>
      </c>
      <c r="E1058" s="602"/>
      <c r="F1058" s="603"/>
      <c r="G1058" s="604"/>
      <c r="H1058" s="605"/>
      <c r="I1058" s="675">
        <v>4.63</v>
      </c>
      <c r="J1058" s="675">
        <f t="shared" si="272"/>
        <v>4.63</v>
      </c>
      <c r="K1058" s="606">
        <f t="shared" si="263"/>
        <v>5.62</v>
      </c>
      <c r="L1058" s="389" t="s">
        <v>21</v>
      </c>
      <c r="M1058" s="30"/>
      <c r="N1058" s="30"/>
      <c r="O1058" s="287">
        <f t="shared" si="264"/>
        <v>0</v>
      </c>
      <c r="P1058" s="287">
        <f t="shared" si="265"/>
        <v>0</v>
      </c>
      <c r="Q1058" s="288"/>
      <c r="R1058" s="243"/>
      <c r="S1058" s="385" t="str">
        <f t="shared" si="271"/>
        <v/>
      </c>
    </row>
    <row r="1059" spans="2:19" ht="26.25" hidden="1" thickBot="1">
      <c r="B1059" s="609">
        <v>91875</v>
      </c>
      <c r="C1059" s="610" t="s">
        <v>843</v>
      </c>
      <c r="D1059" s="611" t="s">
        <v>1195</v>
      </c>
      <c r="E1059" s="602"/>
      <c r="F1059" s="603"/>
      <c r="G1059" s="604"/>
      <c r="H1059" s="605"/>
      <c r="I1059" s="675">
        <v>6.14</v>
      </c>
      <c r="J1059" s="675">
        <f t="shared" si="272"/>
        <v>6.14</v>
      </c>
      <c r="K1059" s="606">
        <f t="shared" si="263"/>
        <v>7.45</v>
      </c>
      <c r="L1059" s="389" t="s">
        <v>21</v>
      </c>
      <c r="M1059" s="30"/>
      <c r="N1059" s="30"/>
      <c r="O1059" s="287">
        <f t="shared" si="264"/>
        <v>0</v>
      </c>
      <c r="P1059" s="287">
        <f t="shared" si="265"/>
        <v>0</v>
      </c>
      <c r="Q1059" s="288"/>
      <c r="R1059" s="243"/>
      <c r="S1059" s="385" t="str">
        <f t="shared" si="271"/>
        <v/>
      </c>
    </row>
    <row r="1060" spans="2:19" ht="26.25" hidden="1" thickBot="1">
      <c r="B1060" s="609">
        <v>91876</v>
      </c>
      <c r="C1060" s="610" t="s">
        <v>843</v>
      </c>
      <c r="D1060" s="611" t="s">
        <v>1196</v>
      </c>
      <c r="E1060" s="602"/>
      <c r="F1060" s="603"/>
      <c r="G1060" s="604"/>
      <c r="H1060" s="605"/>
      <c r="I1060" s="675">
        <v>8.1199999999999992</v>
      </c>
      <c r="J1060" s="675">
        <f t="shared" si="272"/>
        <v>8.1199999999999992</v>
      </c>
      <c r="K1060" s="606">
        <f t="shared" si="263"/>
        <v>9.85</v>
      </c>
      <c r="L1060" s="389" t="s">
        <v>21</v>
      </c>
      <c r="M1060" s="30"/>
      <c r="N1060" s="30"/>
      <c r="O1060" s="287">
        <f t="shared" si="264"/>
        <v>0</v>
      </c>
      <c r="P1060" s="287">
        <f t="shared" si="265"/>
        <v>0</v>
      </c>
      <c r="Q1060" s="288"/>
      <c r="R1060" s="243"/>
      <c r="S1060" s="385" t="str">
        <f t="shared" si="271"/>
        <v/>
      </c>
    </row>
    <row r="1061" spans="2:19" ht="26.25" hidden="1" thickBot="1">
      <c r="B1061" s="609">
        <v>91877</v>
      </c>
      <c r="C1061" s="610" t="s">
        <v>843</v>
      </c>
      <c r="D1061" s="611" t="s">
        <v>1197</v>
      </c>
      <c r="E1061" s="602"/>
      <c r="F1061" s="603"/>
      <c r="G1061" s="604"/>
      <c r="H1061" s="605"/>
      <c r="I1061" s="675">
        <v>10.81</v>
      </c>
      <c r="J1061" s="675">
        <f t="shared" si="272"/>
        <v>10.81</v>
      </c>
      <c r="K1061" s="606">
        <f t="shared" si="263"/>
        <v>13.12</v>
      </c>
      <c r="L1061" s="389" t="s">
        <v>21</v>
      </c>
      <c r="M1061" s="30"/>
      <c r="N1061" s="30"/>
      <c r="O1061" s="287">
        <f t="shared" si="264"/>
        <v>0</v>
      </c>
      <c r="P1061" s="287">
        <f t="shared" si="265"/>
        <v>0</v>
      </c>
      <c r="Q1061" s="288"/>
      <c r="R1061" s="243"/>
      <c r="S1061" s="385" t="str">
        <f t="shared" si="271"/>
        <v/>
      </c>
    </row>
    <row r="1062" spans="2:19" ht="26.25" hidden="1" thickBot="1">
      <c r="B1062" s="609">
        <v>91878</v>
      </c>
      <c r="C1062" s="610" t="s">
        <v>843</v>
      </c>
      <c r="D1062" s="611" t="s">
        <v>1198</v>
      </c>
      <c r="E1062" s="602"/>
      <c r="F1062" s="603"/>
      <c r="G1062" s="604"/>
      <c r="H1062" s="605"/>
      <c r="I1062" s="675">
        <v>5.94</v>
      </c>
      <c r="J1062" s="675">
        <f t="shared" si="272"/>
        <v>5.94</v>
      </c>
      <c r="K1062" s="606">
        <f t="shared" si="263"/>
        <v>7.21</v>
      </c>
      <c r="L1062" s="389" t="s">
        <v>21</v>
      </c>
      <c r="M1062" s="30"/>
      <c r="N1062" s="30"/>
      <c r="O1062" s="287">
        <f t="shared" si="264"/>
        <v>0</v>
      </c>
      <c r="P1062" s="287">
        <f t="shared" si="265"/>
        <v>0</v>
      </c>
      <c r="Q1062" s="288"/>
      <c r="R1062" s="243"/>
      <c r="S1062" s="385" t="str">
        <f t="shared" si="271"/>
        <v/>
      </c>
    </row>
    <row r="1063" spans="2:19" ht="26.25" hidden="1" thickBot="1">
      <c r="B1063" s="609">
        <v>91879</v>
      </c>
      <c r="C1063" s="610" t="s">
        <v>843</v>
      </c>
      <c r="D1063" s="611" t="s">
        <v>1199</v>
      </c>
      <c r="E1063" s="602"/>
      <c r="F1063" s="603"/>
      <c r="G1063" s="604"/>
      <c r="H1063" s="605"/>
      <c r="I1063" s="675">
        <v>7.41</v>
      </c>
      <c r="J1063" s="675">
        <f t="shared" si="272"/>
        <v>7.41</v>
      </c>
      <c r="K1063" s="606">
        <f t="shared" si="263"/>
        <v>8.99</v>
      </c>
      <c r="L1063" s="389" t="s">
        <v>21</v>
      </c>
      <c r="M1063" s="30"/>
      <c r="N1063" s="30"/>
      <c r="O1063" s="287">
        <f t="shared" si="264"/>
        <v>0</v>
      </c>
      <c r="P1063" s="287">
        <f t="shared" si="265"/>
        <v>0</v>
      </c>
      <c r="Q1063" s="288"/>
      <c r="R1063" s="243"/>
      <c r="S1063" s="385" t="str">
        <f t="shared" si="271"/>
        <v/>
      </c>
    </row>
    <row r="1064" spans="2:19" ht="26.25" hidden="1" thickBot="1">
      <c r="B1064" s="609">
        <v>91880</v>
      </c>
      <c r="C1064" s="610" t="s">
        <v>843</v>
      </c>
      <c r="D1064" s="611" t="s">
        <v>1200</v>
      </c>
      <c r="E1064" s="602"/>
      <c r="F1064" s="603"/>
      <c r="G1064" s="604"/>
      <c r="H1064" s="605"/>
      <c r="I1064" s="675">
        <v>9.42</v>
      </c>
      <c r="J1064" s="675">
        <f t="shared" si="272"/>
        <v>9.42</v>
      </c>
      <c r="K1064" s="606">
        <f t="shared" si="263"/>
        <v>11.43</v>
      </c>
      <c r="L1064" s="389" t="s">
        <v>21</v>
      </c>
      <c r="M1064" s="30"/>
      <c r="N1064" s="30"/>
      <c r="O1064" s="287">
        <f t="shared" si="264"/>
        <v>0</v>
      </c>
      <c r="P1064" s="287">
        <f t="shared" si="265"/>
        <v>0</v>
      </c>
      <c r="Q1064" s="288"/>
      <c r="R1064" s="243"/>
      <c r="S1064" s="385" t="str">
        <f t="shared" si="271"/>
        <v/>
      </c>
    </row>
    <row r="1065" spans="2:19" ht="26.25" hidden="1" thickBot="1">
      <c r="B1065" s="609">
        <v>91881</v>
      </c>
      <c r="C1065" s="610" t="s">
        <v>843</v>
      </c>
      <c r="D1065" s="611" t="s">
        <v>1201</v>
      </c>
      <c r="E1065" s="602"/>
      <c r="F1065" s="603"/>
      <c r="G1065" s="604"/>
      <c r="H1065" s="605"/>
      <c r="I1065" s="675">
        <v>12.12</v>
      </c>
      <c r="J1065" s="675">
        <f t="shared" si="272"/>
        <v>12.12</v>
      </c>
      <c r="K1065" s="606">
        <f t="shared" si="263"/>
        <v>14.71</v>
      </c>
      <c r="L1065" s="389" t="s">
        <v>21</v>
      </c>
      <c r="M1065" s="30"/>
      <c r="N1065" s="30"/>
      <c r="O1065" s="287">
        <f t="shared" si="264"/>
        <v>0</v>
      </c>
      <c r="P1065" s="287">
        <f t="shared" si="265"/>
        <v>0</v>
      </c>
      <c r="Q1065" s="288"/>
      <c r="R1065" s="243"/>
      <c r="S1065" s="385" t="str">
        <f t="shared" si="271"/>
        <v/>
      </c>
    </row>
    <row r="1066" spans="2:19" ht="26.25" hidden="1" thickBot="1">
      <c r="B1066" s="609">
        <v>91882</v>
      </c>
      <c r="C1066" s="610" t="s">
        <v>843</v>
      </c>
      <c r="D1066" s="611" t="s">
        <v>1202</v>
      </c>
      <c r="E1066" s="602"/>
      <c r="F1066" s="603"/>
      <c r="G1066" s="604"/>
      <c r="H1066" s="605"/>
      <c r="I1066" s="675">
        <v>7.33</v>
      </c>
      <c r="J1066" s="675">
        <f t="shared" si="272"/>
        <v>7.33</v>
      </c>
      <c r="K1066" s="606">
        <f t="shared" si="263"/>
        <v>8.89</v>
      </c>
      <c r="L1066" s="389" t="s">
        <v>21</v>
      </c>
      <c r="M1066" s="30"/>
      <c r="N1066" s="30"/>
      <c r="O1066" s="287">
        <f t="shared" si="264"/>
        <v>0</v>
      </c>
      <c r="P1066" s="287">
        <f t="shared" si="265"/>
        <v>0</v>
      </c>
      <c r="Q1066" s="288"/>
      <c r="R1066" s="243"/>
      <c r="S1066" s="385" t="str">
        <f t="shared" si="271"/>
        <v/>
      </c>
    </row>
    <row r="1067" spans="2:19" ht="26.25" hidden="1" thickBot="1">
      <c r="B1067" s="609">
        <v>91884</v>
      </c>
      <c r="C1067" s="610" t="s">
        <v>843</v>
      </c>
      <c r="D1067" s="611" t="s">
        <v>1203</v>
      </c>
      <c r="E1067" s="602"/>
      <c r="F1067" s="603"/>
      <c r="G1067" s="604"/>
      <c r="H1067" s="605"/>
      <c r="I1067" s="675">
        <v>8.49</v>
      </c>
      <c r="J1067" s="675">
        <f t="shared" si="272"/>
        <v>8.49</v>
      </c>
      <c r="K1067" s="606">
        <f t="shared" si="263"/>
        <v>10.3</v>
      </c>
      <c r="L1067" s="389" t="s">
        <v>21</v>
      </c>
      <c r="M1067" s="30"/>
      <c r="N1067" s="30"/>
      <c r="O1067" s="287">
        <f t="shared" si="264"/>
        <v>0</v>
      </c>
      <c r="P1067" s="287">
        <f t="shared" si="265"/>
        <v>0</v>
      </c>
      <c r="Q1067" s="288"/>
      <c r="R1067" s="243"/>
      <c r="S1067" s="385" t="str">
        <f t="shared" si="271"/>
        <v/>
      </c>
    </row>
    <row r="1068" spans="2:19" ht="26.25" hidden="1" thickBot="1">
      <c r="B1068" s="609">
        <v>91885</v>
      </c>
      <c r="C1068" s="610" t="s">
        <v>843</v>
      </c>
      <c r="D1068" s="611" t="s">
        <v>1204</v>
      </c>
      <c r="E1068" s="602"/>
      <c r="F1068" s="603"/>
      <c r="G1068" s="604"/>
      <c r="H1068" s="605"/>
      <c r="I1068" s="675">
        <v>10.050000000000001</v>
      </c>
      <c r="J1068" s="675">
        <f t="shared" si="272"/>
        <v>10.050000000000001</v>
      </c>
      <c r="K1068" s="606">
        <f t="shared" si="263"/>
        <v>12.2</v>
      </c>
      <c r="L1068" s="389" t="s">
        <v>21</v>
      </c>
      <c r="M1068" s="30"/>
      <c r="N1068" s="30"/>
      <c r="O1068" s="287">
        <f t="shared" si="264"/>
        <v>0</v>
      </c>
      <c r="P1068" s="287">
        <f t="shared" si="265"/>
        <v>0</v>
      </c>
      <c r="Q1068" s="288"/>
      <c r="R1068" s="243"/>
      <c r="S1068" s="385" t="str">
        <f t="shared" si="271"/>
        <v/>
      </c>
    </row>
    <row r="1069" spans="2:19" ht="26.25" hidden="1" thickBot="1">
      <c r="B1069" s="609">
        <v>91886</v>
      </c>
      <c r="C1069" s="610" t="s">
        <v>843</v>
      </c>
      <c r="D1069" s="611" t="s">
        <v>1205</v>
      </c>
      <c r="E1069" s="602"/>
      <c r="F1069" s="603"/>
      <c r="G1069" s="604"/>
      <c r="H1069" s="605"/>
      <c r="I1069" s="675">
        <v>12.25</v>
      </c>
      <c r="J1069" s="675">
        <f t="shared" si="272"/>
        <v>12.25</v>
      </c>
      <c r="K1069" s="606">
        <f t="shared" si="263"/>
        <v>14.87</v>
      </c>
      <c r="L1069" s="389" t="s">
        <v>21</v>
      </c>
      <c r="M1069" s="30"/>
      <c r="N1069" s="30"/>
      <c r="O1069" s="287">
        <f t="shared" si="264"/>
        <v>0</v>
      </c>
      <c r="P1069" s="287">
        <f t="shared" si="265"/>
        <v>0</v>
      </c>
      <c r="Q1069" s="288"/>
      <c r="R1069" s="243"/>
      <c r="S1069" s="385" t="str">
        <f t="shared" si="271"/>
        <v/>
      </c>
    </row>
    <row r="1070" spans="2:19" ht="26.25" hidden="1" thickBot="1">
      <c r="B1070" s="609">
        <v>91887</v>
      </c>
      <c r="C1070" s="610" t="s">
        <v>843</v>
      </c>
      <c r="D1070" s="611" t="s">
        <v>1206</v>
      </c>
      <c r="E1070" s="602"/>
      <c r="F1070" s="603"/>
      <c r="G1070" s="604"/>
      <c r="H1070" s="605"/>
      <c r="I1070" s="675">
        <v>8.66</v>
      </c>
      <c r="J1070" s="675">
        <f t="shared" si="272"/>
        <v>8.66</v>
      </c>
      <c r="K1070" s="606">
        <f t="shared" si="263"/>
        <v>10.51</v>
      </c>
      <c r="L1070" s="389" t="s">
        <v>21</v>
      </c>
      <c r="M1070" s="30"/>
      <c r="N1070" s="30"/>
      <c r="O1070" s="287">
        <f t="shared" si="264"/>
        <v>0</v>
      </c>
      <c r="P1070" s="287">
        <f t="shared" si="265"/>
        <v>0</v>
      </c>
      <c r="Q1070" s="288"/>
      <c r="R1070" s="243"/>
      <c r="S1070" s="385" t="str">
        <f t="shared" si="271"/>
        <v/>
      </c>
    </row>
    <row r="1071" spans="2:19" ht="26.25" hidden="1" thickBot="1">
      <c r="B1071" s="609">
        <v>91889</v>
      </c>
      <c r="C1071" s="610" t="s">
        <v>843</v>
      </c>
      <c r="D1071" s="611" t="s">
        <v>1207</v>
      </c>
      <c r="E1071" s="602"/>
      <c r="F1071" s="603"/>
      <c r="G1071" s="604"/>
      <c r="H1071" s="605"/>
      <c r="I1071" s="675">
        <v>8.33</v>
      </c>
      <c r="J1071" s="675">
        <f t="shared" si="272"/>
        <v>8.33</v>
      </c>
      <c r="K1071" s="606">
        <f t="shared" si="263"/>
        <v>10.11</v>
      </c>
      <c r="L1071" s="389" t="s">
        <v>21</v>
      </c>
      <c r="M1071" s="30"/>
      <c r="N1071" s="30"/>
      <c r="O1071" s="287">
        <f t="shared" si="264"/>
        <v>0</v>
      </c>
      <c r="P1071" s="287">
        <f t="shared" si="265"/>
        <v>0</v>
      </c>
      <c r="Q1071" s="288"/>
      <c r="R1071" s="243"/>
      <c r="S1071" s="385" t="str">
        <f t="shared" si="271"/>
        <v/>
      </c>
    </row>
    <row r="1072" spans="2:19" ht="26.25" hidden="1" thickBot="1">
      <c r="B1072" s="609">
        <v>91890</v>
      </c>
      <c r="C1072" s="610" t="s">
        <v>843</v>
      </c>
      <c r="D1072" s="611" t="s">
        <v>1208</v>
      </c>
      <c r="E1072" s="602"/>
      <c r="F1072" s="603"/>
      <c r="G1072" s="604"/>
      <c r="H1072" s="605"/>
      <c r="I1072" s="675">
        <v>10.28</v>
      </c>
      <c r="J1072" s="675">
        <f t="shared" si="272"/>
        <v>10.28</v>
      </c>
      <c r="K1072" s="606">
        <f t="shared" si="263"/>
        <v>12.47</v>
      </c>
      <c r="L1072" s="389" t="s">
        <v>21</v>
      </c>
      <c r="M1072" s="30"/>
      <c r="N1072" s="30"/>
      <c r="O1072" s="287">
        <f t="shared" si="264"/>
        <v>0</v>
      </c>
      <c r="P1072" s="287">
        <f t="shared" si="265"/>
        <v>0</v>
      </c>
      <c r="Q1072" s="288"/>
      <c r="R1072" s="243"/>
      <c r="S1072" s="385" t="str">
        <f t="shared" si="271"/>
        <v/>
      </c>
    </row>
    <row r="1073" spans="2:19" ht="26.25" hidden="1" thickBot="1">
      <c r="B1073" s="609">
        <v>91892</v>
      </c>
      <c r="C1073" s="610" t="s">
        <v>843</v>
      </c>
      <c r="D1073" s="611" t="s">
        <v>1209</v>
      </c>
      <c r="E1073" s="602"/>
      <c r="F1073" s="603"/>
      <c r="G1073" s="604"/>
      <c r="H1073" s="605"/>
      <c r="I1073" s="675">
        <v>12.49</v>
      </c>
      <c r="J1073" s="675">
        <f t="shared" si="272"/>
        <v>12.49</v>
      </c>
      <c r="K1073" s="606">
        <f t="shared" si="263"/>
        <v>15.16</v>
      </c>
      <c r="L1073" s="389" t="s">
        <v>21</v>
      </c>
      <c r="M1073" s="30"/>
      <c r="N1073" s="30"/>
      <c r="O1073" s="287">
        <f t="shared" si="264"/>
        <v>0</v>
      </c>
      <c r="P1073" s="287">
        <f t="shared" si="265"/>
        <v>0</v>
      </c>
      <c r="Q1073" s="288"/>
      <c r="R1073" s="243"/>
      <c r="S1073" s="385" t="str">
        <f t="shared" si="271"/>
        <v/>
      </c>
    </row>
    <row r="1074" spans="2:19" ht="26.25" hidden="1" thickBot="1">
      <c r="B1074" s="609">
        <v>91893</v>
      </c>
      <c r="C1074" s="610" t="s">
        <v>843</v>
      </c>
      <c r="D1074" s="611" t="s">
        <v>1210</v>
      </c>
      <c r="E1074" s="602"/>
      <c r="F1074" s="603"/>
      <c r="G1074" s="604"/>
      <c r="H1074" s="605"/>
      <c r="I1074" s="675">
        <v>14.08</v>
      </c>
      <c r="J1074" s="675">
        <f t="shared" si="272"/>
        <v>14.08</v>
      </c>
      <c r="K1074" s="606">
        <f t="shared" si="263"/>
        <v>17.09</v>
      </c>
      <c r="L1074" s="389" t="s">
        <v>21</v>
      </c>
      <c r="M1074" s="30"/>
      <c r="N1074" s="30"/>
      <c r="O1074" s="287">
        <f t="shared" si="264"/>
        <v>0</v>
      </c>
      <c r="P1074" s="287">
        <f t="shared" si="265"/>
        <v>0</v>
      </c>
      <c r="Q1074" s="288"/>
      <c r="R1074" s="243"/>
      <c r="S1074" s="385" t="str">
        <f t="shared" si="271"/>
        <v/>
      </c>
    </row>
    <row r="1075" spans="2:19" ht="26.25" hidden="1" thickBot="1">
      <c r="B1075" s="609">
        <v>91896</v>
      </c>
      <c r="C1075" s="610" t="s">
        <v>843</v>
      </c>
      <c r="D1075" s="611" t="s">
        <v>1211</v>
      </c>
      <c r="E1075" s="602"/>
      <c r="F1075" s="603"/>
      <c r="G1075" s="604"/>
      <c r="H1075" s="605"/>
      <c r="I1075" s="675">
        <v>17.149999999999999</v>
      </c>
      <c r="J1075" s="675">
        <f t="shared" si="272"/>
        <v>17.149999999999999</v>
      </c>
      <c r="K1075" s="606">
        <f t="shared" si="263"/>
        <v>20.81</v>
      </c>
      <c r="L1075" s="389" t="s">
        <v>21</v>
      </c>
      <c r="M1075" s="30"/>
      <c r="N1075" s="30"/>
      <c r="O1075" s="287">
        <f t="shared" si="264"/>
        <v>0</v>
      </c>
      <c r="P1075" s="287">
        <f t="shared" si="265"/>
        <v>0</v>
      </c>
      <c r="Q1075" s="288"/>
      <c r="R1075" s="243"/>
      <c r="S1075" s="385" t="str">
        <f t="shared" si="271"/>
        <v/>
      </c>
    </row>
    <row r="1076" spans="2:19" ht="26.25" hidden="1" thickBot="1">
      <c r="B1076" s="609">
        <v>91898</v>
      </c>
      <c r="C1076" s="610" t="s">
        <v>843</v>
      </c>
      <c r="D1076" s="611" t="s">
        <v>1212</v>
      </c>
      <c r="E1076" s="602"/>
      <c r="F1076" s="603"/>
      <c r="G1076" s="604"/>
      <c r="H1076" s="605"/>
      <c r="I1076" s="675">
        <v>19.559999999999999</v>
      </c>
      <c r="J1076" s="675">
        <f t="shared" si="272"/>
        <v>19.559999999999999</v>
      </c>
      <c r="K1076" s="606">
        <f t="shared" si="263"/>
        <v>23.74</v>
      </c>
      <c r="L1076" s="389" t="s">
        <v>21</v>
      </c>
      <c r="M1076" s="30"/>
      <c r="N1076" s="30"/>
      <c r="O1076" s="287">
        <f t="shared" si="264"/>
        <v>0</v>
      </c>
      <c r="P1076" s="287">
        <f t="shared" si="265"/>
        <v>0</v>
      </c>
      <c r="Q1076" s="288"/>
      <c r="R1076" s="243"/>
      <c r="S1076" s="385" t="str">
        <f t="shared" si="271"/>
        <v/>
      </c>
    </row>
    <row r="1077" spans="2:19" ht="26.25" hidden="1" thickBot="1">
      <c r="B1077" s="609">
        <v>91899</v>
      </c>
      <c r="C1077" s="610" t="s">
        <v>843</v>
      </c>
      <c r="D1077" s="611" t="s">
        <v>1213</v>
      </c>
      <c r="E1077" s="602"/>
      <c r="F1077" s="603"/>
      <c r="G1077" s="604"/>
      <c r="H1077" s="605"/>
      <c r="I1077" s="675">
        <v>10.55</v>
      </c>
      <c r="J1077" s="675">
        <f t="shared" si="272"/>
        <v>10.55</v>
      </c>
      <c r="K1077" s="606">
        <f t="shared" si="263"/>
        <v>12.8</v>
      </c>
      <c r="L1077" s="389" t="s">
        <v>21</v>
      </c>
      <c r="M1077" s="30"/>
      <c r="N1077" s="30"/>
      <c r="O1077" s="287">
        <f t="shared" si="264"/>
        <v>0</v>
      </c>
      <c r="P1077" s="287">
        <f t="shared" si="265"/>
        <v>0</v>
      </c>
      <c r="Q1077" s="288"/>
      <c r="R1077" s="243"/>
      <c r="S1077" s="385" t="str">
        <f t="shared" si="271"/>
        <v/>
      </c>
    </row>
    <row r="1078" spans="2:19" ht="26.25" hidden="1" thickBot="1">
      <c r="B1078" s="609">
        <v>91901</v>
      </c>
      <c r="C1078" s="610" t="s">
        <v>843</v>
      </c>
      <c r="D1078" s="611" t="s">
        <v>1214</v>
      </c>
      <c r="E1078" s="602"/>
      <c r="F1078" s="603"/>
      <c r="G1078" s="604"/>
      <c r="H1078" s="605"/>
      <c r="I1078" s="675">
        <v>10.220000000000001</v>
      </c>
      <c r="J1078" s="675">
        <f t="shared" si="272"/>
        <v>10.220000000000001</v>
      </c>
      <c r="K1078" s="606">
        <f t="shared" si="263"/>
        <v>12.4</v>
      </c>
      <c r="L1078" s="389" t="s">
        <v>21</v>
      </c>
      <c r="M1078" s="30"/>
      <c r="N1078" s="30"/>
      <c r="O1078" s="287">
        <f t="shared" si="264"/>
        <v>0</v>
      </c>
      <c r="P1078" s="287">
        <f t="shared" si="265"/>
        <v>0</v>
      </c>
      <c r="Q1078" s="288"/>
      <c r="R1078" s="243"/>
      <c r="S1078" s="385" t="str">
        <f t="shared" si="271"/>
        <v/>
      </c>
    </row>
    <row r="1079" spans="2:19" ht="26.25" hidden="1" thickBot="1">
      <c r="B1079" s="609">
        <v>91902</v>
      </c>
      <c r="C1079" s="610" t="s">
        <v>843</v>
      </c>
      <c r="D1079" s="611" t="s">
        <v>1215</v>
      </c>
      <c r="E1079" s="602"/>
      <c r="F1079" s="603"/>
      <c r="G1079" s="604"/>
      <c r="H1079" s="605"/>
      <c r="I1079" s="675">
        <v>12.17</v>
      </c>
      <c r="J1079" s="675">
        <f t="shared" si="272"/>
        <v>12.17</v>
      </c>
      <c r="K1079" s="606">
        <f t="shared" si="263"/>
        <v>14.77</v>
      </c>
      <c r="L1079" s="389" t="s">
        <v>21</v>
      </c>
      <c r="M1079" s="30"/>
      <c r="N1079" s="30"/>
      <c r="O1079" s="287">
        <f t="shared" si="264"/>
        <v>0</v>
      </c>
      <c r="P1079" s="287">
        <f t="shared" si="265"/>
        <v>0</v>
      </c>
      <c r="Q1079" s="288"/>
      <c r="R1079" s="243"/>
      <c r="S1079" s="385" t="str">
        <f t="shared" si="271"/>
        <v/>
      </c>
    </row>
    <row r="1080" spans="2:19" ht="26.25" hidden="1" thickBot="1">
      <c r="B1080" s="609">
        <v>91895</v>
      </c>
      <c r="C1080" s="610" t="s">
        <v>843</v>
      </c>
      <c r="D1080" s="611" t="s">
        <v>1216</v>
      </c>
      <c r="E1080" s="602"/>
      <c r="F1080" s="603"/>
      <c r="G1080" s="604"/>
      <c r="H1080" s="605"/>
      <c r="I1080" s="675">
        <v>16.329999999999998</v>
      </c>
      <c r="J1080" s="675">
        <f t="shared" si="272"/>
        <v>16.329999999999998</v>
      </c>
      <c r="K1080" s="606">
        <f t="shared" si="263"/>
        <v>19.82</v>
      </c>
      <c r="L1080" s="389" t="s">
        <v>21</v>
      </c>
      <c r="M1080" s="30"/>
      <c r="N1080" s="30"/>
      <c r="O1080" s="287">
        <f t="shared" si="264"/>
        <v>0</v>
      </c>
      <c r="P1080" s="287">
        <f t="shared" si="265"/>
        <v>0</v>
      </c>
      <c r="Q1080" s="288"/>
      <c r="R1080" s="243"/>
      <c r="S1080" s="385" t="str">
        <f t="shared" si="271"/>
        <v/>
      </c>
    </row>
    <row r="1081" spans="2:19" ht="26.25" hidden="1" thickBot="1">
      <c r="B1081" s="609">
        <v>91907</v>
      </c>
      <c r="C1081" s="610" t="s">
        <v>843</v>
      </c>
      <c r="D1081" s="611" t="s">
        <v>1217</v>
      </c>
      <c r="E1081" s="602"/>
      <c r="F1081" s="603"/>
      <c r="G1081" s="604"/>
      <c r="H1081" s="605"/>
      <c r="I1081" s="675">
        <v>18.22</v>
      </c>
      <c r="J1081" s="675">
        <f t="shared" si="272"/>
        <v>18.22</v>
      </c>
      <c r="K1081" s="606">
        <f t="shared" si="263"/>
        <v>22.11</v>
      </c>
      <c r="L1081" s="389" t="s">
        <v>21</v>
      </c>
      <c r="M1081" s="30"/>
      <c r="N1081" s="30"/>
      <c r="O1081" s="287">
        <f t="shared" si="264"/>
        <v>0</v>
      </c>
      <c r="P1081" s="287">
        <f t="shared" si="265"/>
        <v>0</v>
      </c>
      <c r="Q1081" s="288"/>
      <c r="R1081" s="243"/>
      <c r="S1081" s="385" t="str">
        <f t="shared" si="271"/>
        <v/>
      </c>
    </row>
    <row r="1082" spans="2:19" ht="26.25" hidden="1" thickBot="1">
      <c r="B1082" s="609">
        <v>91919</v>
      </c>
      <c r="C1082" s="610" t="s">
        <v>843</v>
      </c>
      <c r="D1082" s="611" t="s">
        <v>1218</v>
      </c>
      <c r="E1082" s="602"/>
      <c r="F1082" s="603"/>
      <c r="G1082" s="604"/>
      <c r="H1082" s="605"/>
      <c r="I1082" s="675">
        <v>19.2</v>
      </c>
      <c r="J1082" s="675">
        <f t="shared" si="272"/>
        <v>19.2</v>
      </c>
      <c r="K1082" s="606">
        <f t="shared" si="263"/>
        <v>23.3</v>
      </c>
      <c r="L1082" s="389" t="s">
        <v>21</v>
      </c>
      <c r="M1082" s="30"/>
      <c r="N1082" s="30"/>
      <c r="O1082" s="287">
        <f t="shared" si="264"/>
        <v>0</v>
      </c>
      <c r="P1082" s="287">
        <f t="shared" si="265"/>
        <v>0</v>
      </c>
      <c r="Q1082" s="288"/>
      <c r="R1082" s="243"/>
      <c r="S1082" s="385" t="str">
        <f t="shared" si="271"/>
        <v/>
      </c>
    </row>
    <row r="1083" spans="2:19" ht="26.25" hidden="1" thickBot="1">
      <c r="B1083" s="609">
        <v>91904</v>
      </c>
      <c r="C1083" s="610" t="s">
        <v>843</v>
      </c>
      <c r="D1083" s="611" t="s">
        <v>1219</v>
      </c>
      <c r="E1083" s="602"/>
      <c r="F1083" s="603"/>
      <c r="G1083" s="604"/>
      <c r="H1083" s="605"/>
      <c r="I1083" s="675">
        <v>14.38</v>
      </c>
      <c r="J1083" s="675">
        <f t="shared" si="272"/>
        <v>14.38</v>
      </c>
      <c r="K1083" s="606">
        <f t="shared" si="263"/>
        <v>17.45</v>
      </c>
      <c r="L1083" s="389" t="s">
        <v>21</v>
      </c>
      <c r="M1083" s="30"/>
      <c r="N1083" s="30"/>
      <c r="O1083" s="287">
        <f t="shared" si="264"/>
        <v>0</v>
      </c>
      <c r="P1083" s="287">
        <f t="shared" si="265"/>
        <v>0</v>
      </c>
      <c r="Q1083" s="288"/>
      <c r="R1083" s="243"/>
      <c r="S1083" s="385" t="str">
        <f t="shared" si="271"/>
        <v/>
      </c>
    </row>
    <row r="1084" spans="2:19" ht="26.25" hidden="1" thickBot="1">
      <c r="B1084" s="609">
        <v>91905</v>
      </c>
      <c r="C1084" s="610" t="s">
        <v>843</v>
      </c>
      <c r="D1084" s="611" t="s">
        <v>1220</v>
      </c>
      <c r="E1084" s="602"/>
      <c r="F1084" s="603"/>
      <c r="G1084" s="604"/>
      <c r="H1084" s="605"/>
      <c r="I1084" s="675">
        <v>15.97</v>
      </c>
      <c r="J1084" s="675">
        <f t="shared" si="272"/>
        <v>15.97</v>
      </c>
      <c r="K1084" s="606">
        <f t="shared" si="263"/>
        <v>19.38</v>
      </c>
      <c r="L1084" s="389" t="s">
        <v>21</v>
      </c>
      <c r="M1084" s="30"/>
      <c r="N1084" s="30"/>
      <c r="O1084" s="287">
        <f t="shared" si="264"/>
        <v>0</v>
      </c>
      <c r="P1084" s="287">
        <f t="shared" si="265"/>
        <v>0</v>
      </c>
      <c r="Q1084" s="288"/>
      <c r="R1084" s="243"/>
      <c r="S1084" s="385" t="str">
        <f t="shared" ref="S1084:S1147" si="273">IF(R1084="x","x",IF(R1084="y","x",IF(R1084="xy","x",IF(P1084&gt;0,"x",""))))</f>
        <v/>
      </c>
    </row>
    <row r="1085" spans="2:19" ht="26.25" hidden="1" thickBot="1">
      <c r="B1085" s="609">
        <v>91908</v>
      </c>
      <c r="C1085" s="610" t="s">
        <v>843</v>
      </c>
      <c r="D1085" s="611" t="s">
        <v>1221</v>
      </c>
      <c r="E1085" s="602"/>
      <c r="F1085" s="603"/>
      <c r="G1085" s="604"/>
      <c r="H1085" s="605"/>
      <c r="I1085" s="675">
        <v>19.09</v>
      </c>
      <c r="J1085" s="675">
        <f t="shared" si="272"/>
        <v>19.09</v>
      </c>
      <c r="K1085" s="606">
        <f t="shared" si="263"/>
        <v>23.17</v>
      </c>
      <c r="L1085" s="389" t="s">
        <v>21</v>
      </c>
      <c r="M1085" s="30"/>
      <c r="N1085" s="30"/>
      <c r="O1085" s="287">
        <f t="shared" si="264"/>
        <v>0</v>
      </c>
      <c r="P1085" s="287">
        <f t="shared" si="265"/>
        <v>0</v>
      </c>
      <c r="Q1085" s="288"/>
      <c r="R1085" s="243"/>
      <c r="S1085" s="385" t="str">
        <f t="shared" si="273"/>
        <v/>
      </c>
    </row>
    <row r="1086" spans="2:19" ht="26.25" hidden="1" thickBot="1">
      <c r="B1086" s="609">
        <v>91910</v>
      </c>
      <c r="C1086" s="610" t="s">
        <v>843</v>
      </c>
      <c r="D1086" s="611" t="s">
        <v>1222</v>
      </c>
      <c r="E1086" s="602"/>
      <c r="F1086" s="603"/>
      <c r="G1086" s="604"/>
      <c r="H1086" s="605"/>
      <c r="I1086" s="675">
        <v>21.5</v>
      </c>
      <c r="J1086" s="675">
        <f t="shared" si="272"/>
        <v>21.5</v>
      </c>
      <c r="K1086" s="606">
        <f t="shared" si="263"/>
        <v>26.09</v>
      </c>
      <c r="L1086" s="389" t="s">
        <v>21</v>
      </c>
      <c r="M1086" s="30"/>
      <c r="N1086" s="30"/>
      <c r="O1086" s="287">
        <f t="shared" si="264"/>
        <v>0</v>
      </c>
      <c r="P1086" s="287">
        <f t="shared" si="265"/>
        <v>0</v>
      </c>
      <c r="Q1086" s="288"/>
      <c r="R1086" s="243"/>
      <c r="S1086" s="385" t="str">
        <f t="shared" si="273"/>
        <v/>
      </c>
    </row>
    <row r="1087" spans="2:19" ht="26.25" hidden="1" thickBot="1">
      <c r="B1087" s="609">
        <v>91911</v>
      </c>
      <c r="C1087" s="610" t="s">
        <v>843</v>
      </c>
      <c r="D1087" s="611" t="s">
        <v>1223</v>
      </c>
      <c r="E1087" s="602"/>
      <c r="F1087" s="603"/>
      <c r="G1087" s="604"/>
      <c r="H1087" s="605"/>
      <c r="I1087" s="675">
        <v>12.71</v>
      </c>
      <c r="J1087" s="675">
        <f t="shared" si="272"/>
        <v>12.71</v>
      </c>
      <c r="K1087" s="606">
        <f t="shared" si="263"/>
        <v>15.42</v>
      </c>
      <c r="L1087" s="389" t="s">
        <v>21</v>
      </c>
      <c r="M1087" s="30"/>
      <c r="N1087" s="30"/>
      <c r="O1087" s="287">
        <f t="shared" si="264"/>
        <v>0</v>
      </c>
      <c r="P1087" s="287">
        <f t="shared" si="265"/>
        <v>0</v>
      </c>
      <c r="Q1087" s="288"/>
      <c r="R1087" s="243"/>
      <c r="S1087" s="385" t="str">
        <f t="shared" si="273"/>
        <v/>
      </c>
    </row>
    <row r="1088" spans="2:19" ht="26.25" hidden="1" thickBot="1">
      <c r="B1088" s="609">
        <v>91913</v>
      </c>
      <c r="C1088" s="610" t="s">
        <v>843</v>
      </c>
      <c r="D1088" s="611" t="s">
        <v>1224</v>
      </c>
      <c r="E1088" s="602"/>
      <c r="F1088" s="603"/>
      <c r="G1088" s="604"/>
      <c r="H1088" s="605"/>
      <c r="I1088" s="675">
        <v>12.38</v>
      </c>
      <c r="J1088" s="675">
        <f t="shared" si="272"/>
        <v>12.38</v>
      </c>
      <c r="K1088" s="606">
        <f t="shared" si="263"/>
        <v>15.02</v>
      </c>
      <c r="L1088" s="389" t="s">
        <v>21</v>
      </c>
      <c r="M1088" s="30"/>
      <c r="N1088" s="30"/>
      <c r="O1088" s="287">
        <f t="shared" si="264"/>
        <v>0</v>
      </c>
      <c r="P1088" s="287">
        <f t="shared" si="265"/>
        <v>0</v>
      </c>
      <c r="Q1088" s="288"/>
      <c r="R1088" s="243"/>
      <c r="S1088" s="385" t="str">
        <f t="shared" si="273"/>
        <v/>
      </c>
    </row>
    <row r="1089" spans="2:19" ht="26.25" hidden="1" thickBot="1">
      <c r="B1089" s="609">
        <v>91914</v>
      </c>
      <c r="C1089" s="610" t="s">
        <v>843</v>
      </c>
      <c r="D1089" s="611" t="s">
        <v>1225</v>
      </c>
      <c r="E1089" s="602"/>
      <c r="F1089" s="603"/>
      <c r="G1089" s="604"/>
      <c r="H1089" s="605"/>
      <c r="I1089" s="675">
        <v>13.83</v>
      </c>
      <c r="J1089" s="675">
        <f t="shared" si="272"/>
        <v>13.83</v>
      </c>
      <c r="K1089" s="606">
        <f t="shared" si="263"/>
        <v>16.78</v>
      </c>
      <c r="L1089" s="389" t="s">
        <v>21</v>
      </c>
      <c r="M1089" s="30"/>
      <c r="N1089" s="30"/>
      <c r="O1089" s="287">
        <f t="shared" si="264"/>
        <v>0</v>
      </c>
      <c r="P1089" s="287">
        <f t="shared" si="265"/>
        <v>0</v>
      </c>
      <c r="Q1089" s="288"/>
      <c r="R1089" s="243"/>
      <c r="S1089" s="385" t="str">
        <f t="shared" si="273"/>
        <v/>
      </c>
    </row>
    <row r="1090" spans="2:19" ht="26.25" hidden="1" thickBot="1">
      <c r="B1090" s="609">
        <v>91916</v>
      </c>
      <c r="C1090" s="610" t="s">
        <v>843</v>
      </c>
      <c r="D1090" s="611" t="s">
        <v>1226</v>
      </c>
      <c r="E1090" s="602"/>
      <c r="F1090" s="603"/>
      <c r="G1090" s="604"/>
      <c r="H1090" s="605"/>
      <c r="I1090" s="675">
        <v>16.04</v>
      </c>
      <c r="J1090" s="675">
        <f t="shared" si="272"/>
        <v>16.04</v>
      </c>
      <c r="K1090" s="606">
        <f t="shared" si="263"/>
        <v>19.46</v>
      </c>
      <c r="L1090" s="389" t="s">
        <v>21</v>
      </c>
      <c r="M1090" s="30"/>
      <c r="N1090" s="30"/>
      <c r="O1090" s="287">
        <f t="shared" si="264"/>
        <v>0</v>
      </c>
      <c r="P1090" s="287">
        <f t="shared" si="265"/>
        <v>0</v>
      </c>
      <c r="Q1090" s="288"/>
      <c r="R1090" s="243"/>
      <c r="S1090" s="385" t="str">
        <f t="shared" si="273"/>
        <v/>
      </c>
    </row>
    <row r="1091" spans="2:19" ht="26.25" hidden="1" thickBot="1">
      <c r="B1091" s="609">
        <v>91917</v>
      </c>
      <c r="C1091" s="610" t="s">
        <v>843</v>
      </c>
      <c r="D1091" s="611" t="s">
        <v>1227</v>
      </c>
      <c r="E1091" s="602"/>
      <c r="F1091" s="603"/>
      <c r="G1091" s="604"/>
      <c r="H1091" s="605"/>
      <c r="I1091" s="675">
        <v>16.95</v>
      </c>
      <c r="J1091" s="675">
        <f t="shared" si="272"/>
        <v>16.95</v>
      </c>
      <c r="K1091" s="606">
        <f t="shared" si="263"/>
        <v>20.57</v>
      </c>
      <c r="L1091" s="389" t="s">
        <v>21</v>
      </c>
      <c r="M1091" s="30"/>
      <c r="N1091" s="30"/>
      <c r="O1091" s="287">
        <f t="shared" si="264"/>
        <v>0</v>
      </c>
      <c r="P1091" s="287">
        <f t="shared" si="265"/>
        <v>0</v>
      </c>
      <c r="Q1091" s="288"/>
      <c r="R1091" s="243"/>
      <c r="S1091" s="385" t="str">
        <f t="shared" si="273"/>
        <v/>
      </c>
    </row>
    <row r="1092" spans="2:19" ht="26.25" hidden="1" thickBot="1">
      <c r="B1092" s="609">
        <v>91920</v>
      </c>
      <c r="C1092" s="610" t="s">
        <v>843</v>
      </c>
      <c r="D1092" s="611" t="s">
        <v>1228</v>
      </c>
      <c r="E1092" s="602"/>
      <c r="F1092" s="603"/>
      <c r="G1092" s="604"/>
      <c r="H1092" s="605"/>
      <c r="I1092" s="675">
        <v>19.309999999999999</v>
      </c>
      <c r="J1092" s="675">
        <f t="shared" si="272"/>
        <v>19.309999999999999</v>
      </c>
      <c r="K1092" s="606">
        <f t="shared" si="263"/>
        <v>23.43</v>
      </c>
      <c r="L1092" s="389" t="s">
        <v>21</v>
      </c>
      <c r="M1092" s="30"/>
      <c r="N1092" s="30"/>
      <c r="O1092" s="287">
        <f t="shared" si="264"/>
        <v>0</v>
      </c>
      <c r="P1092" s="287">
        <f t="shared" si="265"/>
        <v>0</v>
      </c>
      <c r="Q1092" s="288"/>
      <c r="R1092" s="243"/>
      <c r="S1092" s="385" t="str">
        <f t="shared" si="273"/>
        <v/>
      </c>
    </row>
    <row r="1093" spans="2:19" ht="26.25" hidden="1" thickBot="1">
      <c r="B1093" s="609">
        <v>91922</v>
      </c>
      <c r="C1093" s="610" t="s">
        <v>843</v>
      </c>
      <c r="D1093" s="611" t="s">
        <v>1229</v>
      </c>
      <c r="E1093" s="602"/>
      <c r="F1093" s="603"/>
      <c r="G1093" s="604"/>
      <c r="H1093" s="605"/>
      <c r="I1093" s="675">
        <v>21.72</v>
      </c>
      <c r="J1093" s="675">
        <f t="shared" si="272"/>
        <v>21.72</v>
      </c>
      <c r="K1093" s="606">
        <f t="shared" si="263"/>
        <v>26.36</v>
      </c>
      <c r="L1093" s="389" t="s">
        <v>21</v>
      </c>
      <c r="M1093" s="30"/>
      <c r="N1093" s="30"/>
      <c r="O1093" s="287">
        <f t="shared" si="264"/>
        <v>0</v>
      </c>
      <c r="P1093" s="287">
        <f t="shared" si="265"/>
        <v>0</v>
      </c>
      <c r="Q1093" s="288"/>
      <c r="R1093" s="243"/>
      <c r="S1093" s="385" t="str">
        <f t="shared" si="273"/>
        <v/>
      </c>
    </row>
    <row r="1094" spans="2:19" ht="13.5" hidden="1" thickBot="1">
      <c r="B1094" s="609">
        <v>93013</v>
      </c>
      <c r="C1094" s="610" t="s">
        <v>843</v>
      </c>
      <c r="D1094" s="611" t="s">
        <v>1230</v>
      </c>
      <c r="E1094" s="602"/>
      <c r="F1094" s="603"/>
      <c r="G1094" s="604"/>
      <c r="H1094" s="605"/>
      <c r="I1094" s="675">
        <v>14.06</v>
      </c>
      <c r="J1094" s="675">
        <f t="shared" si="272"/>
        <v>14.06</v>
      </c>
      <c r="K1094" s="606">
        <f t="shared" si="263"/>
        <v>17.059999999999999</v>
      </c>
      <c r="L1094" s="389" t="s">
        <v>21</v>
      </c>
      <c r="M1094" s="30"/>
      <c r="N1094" s="30"/>
      <c r="O1094" s="287">
        <f t="shared" si="264"/>
        <v>0</v>
      </c>
      <c r="P1094" s="287">
        <f t="shared" si="265"/>
        <v>0</v>
      </c>
      <c r="Q1094" s="288"/>
      <c r="R1094" s="243"/>
      <c r="S1094" s="385" t="str">
        <f t="shared" si="273"/>
        <v/>
      </c>
    </row>
    <row r="1095" spans="2:19" ht="13.5" hidden="1" thickBot="1">
      <c r="B1095" s="609">
        <v>93014</v>
      </c>
      <c r="C1095" s="610" t="s">
        <v>843</v>
      </c>
      <c r="D1095" s="611" t="s">
        <v>1231</v>
      </c>
      <c r="E1095" s="602"/>
      <c r="F1095" s="603"/>
      <c r="G1095" s="604"/>
      <c r="H1095" s="605"/>
      <c r="I1095" s="675">
        <v>17.38</v>
      </c>
      <c r="J1095" s="675">
        <f t="shared" si="272"/>
        <v>17.38</v>
      </c>
      <c r="K1095" s="606">
        <f t="shared" si="263"/>
        <v>21.09</v>
      </c>
      <c r="L1095" s="389" t="s">
        <v>21</v>
      </c>
      <c r="M1095" s="30"/>
      <c r="N1095" s="30"/>
      <c r="O1095" s="287">
        <f t="shared" si="264"/>
        <v>0</v>
      </c>
      <c r="P1095" s="287">
        <f t="shared" si="265"/>
        <v>0</v>
      </c>
      <c r="Q1095" s="288"/>
      <c r="R1095" s="243"/>
      <c r="S1095" s="385" t="str">
        <f t="shared" si="273"/>
        <v/>
      </c>
    </row>
    <row r="1096" spans="2:19" ht="13.5" hidden="1" thickBot="1">
      <c r="B1096" s="609">
        <v>93015</v>
      </c>
      <c r="C1096" s="610" t="s">
        <v>843</v>
      </c>
      <c r="D1096" s="611" t="s">
        <v>1232</v>
      </c>
      <c r="E1096" s="602"/>
      <c r="F1096" s="603"/>
      <c r="G1096" s="604"/>
      <c r="H1096" s="605"/>
      <c r="I1096" s="675">
        <v>26.7</v>
      </c>
      <c r="J1096" s="675">
        <f t="shared" si="272"/>
        <v>26.7</v>
      </c>
      <c r="K1096" s="606">
        <f t="shared" si="263"/>
        <v>32.4</v>
      </c>
      <c r="L1096" s="389" t="s">
        <v>21</v>
      </c>
      <c r="M1096" s="30"/>
      <c r="N1096" s="30"/>
      <c r="O1096" s="287">
        <f t="shared" si="264"/>
        <v>0</v>
      </c>
      <c r="P1096" s="287">
        <f t="shared" si="265"/>
        <v>0</v>
      </c>
      <c r="Q1096" s="288"/>
      <c r="R1096" s="243"/>
      <c r="S1096" s="385" t="str">
        <f t="shared" si="273"/>
        <v/>
      </c>
    </row>
    <row r="1097" spans="2:19" ht="13.5" hidden="1" thickBot="1">
      <c r="B1097" s="609">
        <v>93016</v>
      </c>
      <c r="C1097" s="610" t="s">
        <v>843</v>
      </c>
      <c r="D1097" s="611" t="s">
        <v>1233</v>
      </c>
      <c r="E1097" s="602"/>
      <c r="F1097" s="603"/>
      <c r="G1097" s="604"/>
      <c r="H1097" s="605"/>
      <c r="I1097" s="675">
        <v>32.630000000000003</v>
      </c>
      <c r="J1097" s="675">
        <f t="shared" si="272"/>
        <v>32.630000000000003</v>
      </c>
      <c r="K1097" s="606">
        <f t="shared" si="263"/>
        <v>39.6</v>
      </c>
      <c r="L1097" s="389" t="s">
        <v>21</v>
      </c>
      <c r="M1097" s="30"/>
      <c r="N1097" s="30"/>
      <c r="O1097" s="287">
        <f t="shared" si="264"/>
        <v>0</v>
      </c>
      <c r="P1097" s="287">
        <f t="shared" si="265"/>
        <v>0</v>
      </c>
      <c r="Q1097" s="288"/>
      <c r="R1097" s="243"/>
      <c r="S1097" s="385" t="str">
        <f t="shared" si="273"/>
        <v/>
      </c>
    </row>
    <row r="1098" spans="2:19" ht="13.5" hidden="1" thickBot="1">
      <c r="B1098" s="609">
        <v>93017</v>
      </c>
      <c r="C1098" s="610" t="s">
        <v>843</v>
      </c>
      <c r="D1098" s="611" t="s">
        <v>1234</v>
      </c>
      <c r="E1098" s="602"/>
      <c r="F1098" s="603"/>
      <c r="G1098" s="604"/>
      <c r="H1098" s="605"/>
      <c r="I1098" s="675">
        <v>49.48</v>
      </c>
      <c r="J1098" s="675">
        <f t="shared" si="272"/>
        <v>49.48</v>
      </c>
      <c r="K1098" s="606">
        <f t="shared" si="263"/>
        <v>60.04</v>
      </c>
      <c r="L1098" s="389" t="s">
        <v>21</v>
      </c>
      <c r="M1098" s="30"/>
      <c r="N1098" s="30"/>
      <c r="O1098" s="287">
        <f t="shared" si="264"/>
        <v>0</v>
      </c>
      <c r="P1098" s="287">
        <f t="shared" si="265"/>
        <v>0</v>
      </c>
      <c r="Q1098" s="288"/>
      <c r="R1098" s="243"/>
      <c r="S1098" s="385" t="str">
        <f t="shared" si="273"/>
        <v/>
      </c>
    </row>
    <row r="1099" spans="2:19" ht="26.25" hidden="1" thickBot="1">
      <c r="B1099" s="609">
        <v>93018</v>
      </c>
      <c r="C1099" s="610" t="s">
        <v>843</v>
      </c>
      <c r="D1099" s="611" t="s">
        <v>1235</v>
      </c>
      <c r="E1099" s="602"/>
      <c r="F1099" s="603"/>
      <c r="G1099" s="604"/>
      <c r="H1099" s="605"/>
      <c r="I1099" s="675">
        <v>21.51</v>
      </c>
      <c r="J1099" s="675">
        <f t="shared" si="272"/>
        <v>21.51</v>
      </c>
      <c r="K1099" s="606">
        <f t="shared" si="263"/>
        <v>26.1</v>
      </c>
      <c r="L1099" s="389" t="s">
        <v>21</v>
      </c>
      <c r="M1099" s="30"/>
      <c r="N1099" s="30"/>
      <c r="O1099" s="287">
        <f t="shared" si="264"/>
        <v>0</v>
      </c>
      <c r="P1099" s="287">
        <f t="shared" si="265"/>
        <v>0</v>
      </c>
      <c r="Q1099" s="288"/>
      <c r="R1099" s="243"/>
      <c r="S1099" s="385" t="str">
        <f t="shared" si="273"/>
        <v/>
      </c>
    </row>
    <row r="1100" spans="2:19" ht="26.25" hidden="1" thickBot="1">
      <c r="B1100" s="609">
        <v>93020</v>
      </c>
      <c r="C1100" s="610" t="s">
        <v>843</v>
      </c>
      <c r="D1100" s="611" t="s">
        <v>1236</v>
      </c>
      <c r="E1100" s="602"/>
      <c r="F1100" s="603"/>
      <c r="G1100" s="604"/>
      <c r="H1100" s="605"/>
      <c r="I1100" s="675">
        <v>27.79</v>
      </c>
      <c r="J1100" s="675">
        <f t="shared" si="272"/>
        <v>27.79</v>
      </c>
      <c r="K1100" s="606">
        <f t="shared" si="263"/>
        <v>33.72</v>
      </c>
      <c r="L1100" s="389" t="s">
        <v>21</v>
      </c>
      <c r="M1100" s="30"/>
      <c r="N1100" s="30"/>
      <c r="O1100" s="287">
        <f t="shared" si="264"/>
        <v>0</v>
      </c>
      <c r="P1100" s="287">
        <f t="shared" si="265"/>
        <v>0</v>
      </c>
      <c r="Q1100" s="288"/>
      <c r="R1100" s="243"/>
      <c r="S1100" s="385" t="str">
        <f t="shared" si="273"/>
        <v/>
      </c>
    </row>
    <row r="1101" spans="2:19" ht="26.25" hidden="1" thickBot="1">
      <c r="B1101" s="609">
        <v>93022</v>
      </c>
      <c r="C1101" s="610" t="s">
        <v>843</v>
      </c>
      <c r="D1101" s="611" t="s">
        <v>1237</v>
      </c>
      <c r="E1101" s="602"/>
      <c r="F1101" s="603"/>
      <c r="G1101" s="604"/>
      <c r="H1101" s="605"/>
      <c r="I1101" s="675">
        <v>47.34</v>
      </c>
      <c r="J1101" s="675">
        <f t="shared" si="272"/>
        <v>47.34</v>
      </c>
      <c r="K1101" s="606">
        <f t="shared" si="263"/>
        <v>57.45</v>
      </c>
      <c r="L1101" s="389" t="s">
        <v>21</v>
      </c>
      <c r="M1101" s="30"/>
      <c r="N1101" s="30"/>
      <c r="O1101" s="287">
        <f t="shared" si="264"/>
        <v>0</v>
      </c>
      <c r="P1101" s="287">
        <f t="shared" si="265"/>
        <v>0</v>
      </c>
      <c r="Q1101" s="288"/>
      <c r="R1101" s="243"/>
      <c r="S1101" s="385" t="str">
        <f t="shared" si="273"/>
        <v/>
      </c>
    </row>
    <row r="1102" spans="2:19" ht="26.25" hidden="1" thickBot="1">
      <c r="B1102" s="609">
        <v>93024</v>
      </c>
      <c r="C1102" s="610" t="s">
        <v>843</v>
      </c>
      <c r="D1102" s="611" t="s">
        <v>1238</v>
      </c>
      <c r="E1102" s="602"/>
      <c r="F1102" s="603"/>
      <c r="G1102" s="604"/>
      <c r="H1102" s="605"/>
      <c r="I1102" s="675">
        <v>49.63</v>
      </c>
      <c r="J1102" s="675">
        <f t="shared" si="272"/>
        <v>49.63</v>
      </c>
      <c r="K1102" s="606">
        <f t="shared" si="263"/>
        <v>60.23</v>
      </c>
      <c r="L1102" s="389" t="s">
        <v>21</v>
      </c>
      <c r="M1102" s="30"/>
      <c r="N1102" s="30"/>
      <c r="O1102" s="287">
        <f t="shared" si="264"/>
        <v>0</v>
      </c>
      <c r="P1102" s="287">
        <f t="shared" si="265"/>
        <v>0</v>
      </c>
      <c r="Q1102" s="288"/>
      <c r="R1102" s="243"/>
      <c r="S1102" s="385" t="str">
        <f t="shared" si="273"/>
        <v/>
      </c>
    </row>
    <row r="1103" spans="2:19" ht="26.25" hidden="1" thickBot="1">
      <c r="B1103" s="609">
        <v>93026</v>
      </c>
      <c r="C1103" s="610" t="s">
        <v>843</v>
      </c>
      <c r="D1103" s="611" t="s">
        <v>1239</v>
      </c>
      <c r="E1103" s="602"/>
      <c r="F1103" s="603"/>
      <c r="G1103" s="604"/>
      <c r="H1103" s="605"/>
      <c r="I1103" s="675">
        <v>82.1</v>
      </c>
      <c r="J1103" s="675">
        <f t="shared" si="272"/>
        <v>82.1</v>
      </c>
      <c r="K1103" s="606">
        <f t="shared" si="263"/>
        <v>99.63</v>
      </c>
      <c r="L1103" s="389" t="s">
        <v>21</v>
      </c>
      <c r="M1103" s="30"/>
      <c r="N1103" s="30"/>
      <c r="O1103" s="287">
        <f t="shared" si="264"/>
        <v>0</v>
      </c>
      <c r="P1103" s="287">
        <f t="shared" si="265"/>
        <v>0</v>
      </c>
      <c r="Q1103" s="288"/>
      <c r="R1103" s="243"/>
      <c r="S1103" s="385" t="str">
        <f t="shared" si="273"/>
        <v/>
      </c>
    </row>
    <row r="1104" spans="2:19" ht="26.25" hidden="1" thickBot="1">
      <c r="B1104" s="609">
        <v>97559</v>
      </c>
      <c r="C1104" s="610" t="s">
        <v>843</v>
      </c>
      <c r="D1104" s="611" t="s">
        <v>1240</v>
      </c>
      <c r="E1104" s="602"/>
      <c r="F1104" s="603"/>
      <c r="G1104" s="604"/>
      <c r="H1104" s="605"/>
      <c r="I1104" s="675">
        <v>10.029999999999999</v>
      </c>
      <c r="J1104" s="675">
        <f t="shared" si="272"/>
        <v>10.029999999999999</v>
      </c>
      <c r="K1104" s="606">
        <f t="shared" si="263"/>
        <v>12.17</v>
      </c>
      <c r="L1104" s="389" t="s">
        <v>21</v>
      </c>
      <c r="M1104" s="30"/>
      <c r="N1104" s="30"/>
      <c r="O1104" s="287">
        <f t="shared" si="264"/>
        <v>0</v>
      </c>
      <c r="P1104" s="287">
        <f t="shared" si="265"/>
        <v>0</v>
      </c>
      <c r="Q1104" s="288"/>
      <c r="R1104" s="243"/>
      <c r="S1104" s="385" t="str">
        <f t="shared" si="273"/>
        <v/>
      </c>
    </row>
    <row r="1105" spans="2:19" ht="26.25" hidden="1" thickBot="1">
      <c r="B1105" s="609">
        <v>97562</v>
      </c>
      <c r="C1105" s="610" t="s">
        <v>843</v>
      </c>
      <c r="D1105" s="611" t="s">
        <v>1241</v>
      </c>
      <c r="E1105" s="602"/>
      <c r="F1105" s="603"/>
      <c r="G1105" s="604"/>
      <c r="H1105" s="605"/>
      <c r="I1105" s="675">
        <v>11.92</v>
      </c>
      <c r="J1105" s="675">
        <f t="shared" si="272"/>
        <v>11.92</v>
      </c>
      <c r="K1105" s="606">
        <f t="shared" si="263"/>
        <v>14.46</v>
      </c>
      <c r="L1105" s="389" t="s">
        <v>21</v>
      </c>
      <c r="M1105" s="30"/>
      <c r="N1105" s="30"/>
      <c r="O1105" s="287">
        <f t="shared" si="264"/>
        <v>0</v>
      </c>
      <c r="P1105" s="287">
        <f t="shared" si="265"/>
        <v>0</v>
      </c>
      <c r="Q1105" s="288"/>
      <c r="R1105" s="243"/>
      <c r="S1105" s="385" t="str">
        <f t="shared" si="273"/>
        <v/>
      </c>
    </row>
    <row r="1106" spans="2:19" ht="26.25" hidden="1" thickBot="1">
      <c r="B1106" s="609">
        <v>97564</v>
      </c>
      <c r="C1106" s="610" t="s">
        <v>843</v>
      </c>
      <c r="D1106" s="611" t="s">
        <v>1242</v>
      </c>
      <c r="E1106" s="602"/>
      <c r="F1106" s="603"/>
      <c r="G1106" s="604"/>
      <c r="H1106" s="605"/>
      <c r="I1106" s="675">
        <v>13.58</v>
      </c>
      <c r="J1106" s="675">
        <f t="shared" si="272"/>
        <v>13.58</v>
      </c>
      <c r="K1106" s="606">
        <f t="shared" si="263"/>
        <v>16.48</v>
      </c>
      <c r="L1106" s="389" t="s">
        <v>21</v>
      </c>
      <c r="M1106" s="30"/>
      <c r="N1106" s="30"/>
      <c r="O1106" s="287">
        <f t="shared" si="264"/>
        <v>0</v>
      </c>
      <c r="P1106" s="287">
        <f t="shared" si="265"/>
        <v>0</v>
      </c>
      <c r="Q1106" s="288"/>
      <c r="R1106" s="243"/>
      <c r="S1106" s="385" t="str">
        <f t="shared" si="273"/>
        <v/>
      </c>
    </row>
    <row r="1107" spans="2:19" ht="26.25" hidden="1" thickBot="1">
      <c r="B1107" s="609">
        <v>91862</v>
      </c>
      <c r="C1107" s="610" t="s">
        <v>843</v>
      </c>
      <c r="D1107" s="611" t="s">
        <v>1243</v>
      </c>
      <c r="E1107" s="602"/>
      <c r="F1107" s="603"/>
      <c r="G1107" s="604"/>
      <c r="H1107" s="605"/>
      <c r="I1107" s="675">
        <v>8.6</v>
      </c>
      <c r="J1107" s="675">
        <f t="shared" si="272"/>
        <v>8.6</v>
      </c>
      <c r="K1107" s="606">
        <f t="shared" si="263"/>
        <v>10.44</v>
      </c>
      <c r="L1107" s="389" t="s">
        <v>19</v>
      </c>
      <c r="M1107" s="30"/>
      <c r="N1107" s="30"/>
      <c r="O1107" s="287">
        <f t="shared" si="264"/>
        <v>0</v>
      </c>
      <c r="P1107" s="287">
        <f t="shared" si="265"/>
        <v>0</v>
      </c>
      <c r="Q1107" s="288"/>
      <c r="R1107" s="243"/>
      <c r="S1107" s="385" t="str">
        <f t="shared" si="273"/>
        <v/>
      </c>
    </row>
    <row r="1108" spans="2:19" ht="26.25" hidden="1" thickBot="1">
      <c r="B1108" s="609">
        <v>91863</v>
      </c>
      <c r="C1108" s="610" t="s">
        <v>843</v>
      </c>
      <c r="D1108" s="611" t="s">
        <v>1244</v>
      </c>
      <c r="E1108" s="602"/>
      <c r="F1108" s="603"/>
      <c r="G1108" s="604"/>
      <c r="H1108" s="605"/>
      <c r="I1108" s="675">
        <v>10.09</v>
      </c>
      <c r="J1108" s="675">
        <f t="shared" si="272"/>
        <v>10.09</v>
      </c>
      <c r="K1108" s="606">
        <f t="shared" si="263"/>
        <v>12.24</v>
      </c>
      <c r="L1108" s="389" t="s">
        <v>19</v>
      </c>
      <c r="M1108" s="30"/>
      <c r="N1108" s="30"/>
      <c r="O1108" s="287">
        <f t="shared" si="264"/>
        <v>0</v>
      </c>
      <c r="P1108" s="287">
        <f t="shared" si="265"/>
        <v>0</v>
      </c>
      <c r="Q1108" s="288"/>
      <c r="R1108" s="243"/>
      <c r="S1108" s="385" t="str">
        <f t="shared" si="273"/>
        <v/>
      </c>
    </row>
    <row r="1109" spans="2:19" ht="26.25" hidden="1" thickBot="1">
      <c r="B1109" s="609">
        <v>91864</v>
      </c>
      <c r="C1109" s="610" t="s">
        <v>843</v>
      </c>
      <c r="D1109" s="611" t="s">
        <v>1245</v>
      </c>
      <c r="E1109" s="602"/>
      <c r="F1109" s="603"/>
      <c r="G1109" s="604"/>
      <c r="H1109" s="605"/>
      <c r="I1109" s="675">
        <v>13.28</v>
      </c>
      <c r="J1109" s="675">
        <f t="shared" si="272"/>
        <v>13.28</v>
      </c>
      <c r="K1109" s="606">
        <f t="shared" si="263"/>
        <v>16.12</v>
      </c>
      <c r="L1109" s="389" t="s">
        <v>19</v>
      </c>
      <c r="M1109" s="30"/>
      <c r="N1109" s="30"/>
      <c r="O1109" s="287">
        <f t="shared" si="264"/>
        <v>0</v>
      </c>
      <c r="P1109" s="287">
        <f t="shared" si="265"/>
        <v>0</v>
      </c>
      <c r="Q1109" s="288"/>
      <c r="R1109" s="243"/>
      <c r="S1109" s="385" t="str">
        <f t="shared" si="273"/>
        <v/>
      </c>
    </row>
    <row r="1110" spans="2:19" ht="26.25" hidden="1" thickBot="1">
      <c r="B1110" s="609">
        <v>91865</v>
      </c>
      <c r="C1110" s="610" t="s">
        <v>843</v>
      </c>
      <c r="D1110" s="611" t="s">
        <v>1246</v>
      </c>
      <c r="E1110" s="602"/>
      <c r="F1110" s="603"/>
      <c r="G1110" s="604"/>
      <c r="H1110" s="605"/>
      <c r="I1110" s="675">
        <v>16.489999999999998</v>
      </c>
      <c r="J1110" s="675">
        <f t="shared" si="272"/>
        <v>16.489999999999998</v>
      </c>
      <c r="K1110" s="606">
        <f t="shared" si="263"/>
        <v>20.010000000000002</v>
      </c>
      <c r="L1110" s="389" t="s">
        <v>19</v>
      </c>
      <c r="M1110" s="30"/>
      <c r="N1110" s="30"/>
      <c r="O1110" s="287">
        <f t="shared" si="264"/>
        <v>0</v>
      </c>
      <c r="P1110" s="287">
        <f t="shared" si="265"/>
        <v>0</v>
      </c>
      <c r="Q1110" s="288"/>
      <c r="R1110" s="243"/>
      <c r="S1110" s="385" t="str">
        <f t="shared" si="273"/>
        <v/>
      </c>
    </row>
    <row r="1111" spans="2:19" ht="26.25" hidden="1" thickBot="1">
      <c r="B1111" s="609">
        <v>91866</v>
      </c>
      <c r="C1111" s="610" t="s">
        <v>843</v>
      </c>
      <c r="D1111" s="611" t="s">
        <v>1247</v>
      </c>
      <c r="E1111" s="602"/>
      <c r="F1111" s="603"/>
      <c r="G1111" s="604"/>
      <c r="H1111" s="605"/>
      <c r="I1111" s="675">
        <v>6.86</v>
      </c>
      <c r="J1111" s="675">
        <f t="shared" si="272"/>
        <v>6.86</v>
      </c>
      <c r="K1111" s="606">
        <f t="shared" si="263"/>
        <v>8.32</v>
      </c>
      <c r="L1111" s="389" t="s">
        <v>19</v>
      </c>
      <c r="M1111" s="30"/>
      <c r="N1111" s="30"/>
      <c r="O1111" s="287">
        <f t="shared" si="264"/>
        <v>0</v>
      </c>
      <c r="P1111" s="287">
        <f t="shared" si="265"/>
        <v>0</v>
      </c>
      <c r="Q1111" s="288"/>
      <c r="R1111" s="243"/>
      <c r="S1111" s="385" t="str">
        <f t="shared" si="273"/>
        <v/>
      </c>
    </row>
    <row r="1112" spans="2:19" ht="26.25" hidden="1" thickBot="1">
      <c r="B1112" s="609">
        <v>91867</v>
      </c>
      <c r="C1112" s="610" t="s">
        <v>843</v>
      </c>
      <c r="D1112" s="611" t="s">
        <v>1248</v>
      </c>
      <c r="E1112" s="602"/>
      <c r="F1112" s="603"/>
      <c r="G1112" s="604"/>
      <c r="H1112" s="605"/>
      <c r="I1112" s="675">
        <v>8.35</v>
      </c>
      <c r="J1112" s="675">
        <f t="shared" si="272"/>
        <v>8.35</v>
      </c>
      <c r="K1112" s="606">
        <f t="shared" si="263"/>
        <v>10.130000000000001</v>
      </c>
      <c r="L1112" s="389" t="s">
        <v>19</v>
      </c>
      <c r="M1112" s="30"/>
      <c r="N1112" s="30"/>
      <c r="O1112" s="287">
        <f t="shared" si="264"/>
        <v>0</v>
      </c>
      <c r="P1112" s="287">
        <f t="shared" si="265"/>
        <v>0</v>
      </c>
      <c r="Q1112" s="288"/>
      <c r="R1112" s="243"/>
      <c r="S1112" s="385" t="str">
        <f t="shared" si="273"/>
        <v/>
      </c>
    </row>
    <row r="1113" spans="2:19" ht="26.25" hidden="1" thickBot="1">
      <c r="B1113" s="609">
        <v>91868</v>
      </c>
      <c r="C1113" s="610" t="s">
        <v>843</v>
      </c>
      <c r="D1113" s="611" t="s">
        <v>1249</v>
      </c>
      <c r="E1113" s="602"/>
      <c r="F1113" s="603"/>
      <c r="G1113" s="604"/>
      <c r="H1113" s="605"/>
      <c r="I1113" s="675">
        <v>11.55</v>
      </c>
      <c r="J1113" s="675">
        <f t="shared" si="272"/>
        <v>11.55</v>
      </c>
      <c r="K1113" s="606">
        <f t="shared" si="263"/>
        <v>14.02</v>
      </c>
      <c r="L1113" s="389" t="s">
        <v>19</v>
      </c>
      <c r="M1113" s="30"/>
      <c r="N1113" s="30"/>
      <c r="O1113" s="287">
        <f t="shared" si="264"/>
        <v>0</v>
      </c>
      <c r="P1113" s="287">
        <f t="shared" si="265"/>
        <v>0</v>
      </c>
      <c r="Q1113" s="288"/>
      <c r="R1113" s="243"/>
      <c r="S1113" s="385" t="str">
        <f t="shared" si="273"/>
        <v/>
      </c>
    </row>
    <row r="1114" spans="2:19" ht="26.25" hidden="1" thickBot="1">
      <c r="B1114" s="609">
        <v>91869</v>
      </c>
      <c r="C1114" s="610" t="s">
        <v>843</v>
      </c>
      <c r="D1114" s="611" t="s">
        <v>1250</v>
      </c>
      <c r="E1114" s="602"/>
      <c r="F1114" s="603"/>
      <c r="G1114" s="604"/>
      <c r="H1114" s="605"/>
      <c r="I1114" s="675">
        <v>14.76</v>
      </c>
      <c r="J1114" s="675">
        <f t="shared" si="272"/>
        <v>14.76</v>
      </c>
      <c r="K1114" s="606">
        <f t="shared" si="263"/>
        <v>17.91</v>
      </c>
      <c r="L1114" s="389" t="s">
        <v>19</v>
      </c>
      <c r="M1114" s="30"/>
      <c r="N1114" s="30"/>
      <c r="O1114" s="287">
        <f t="shared" si="264"/>
        <v>0</v>
      </c>
      <c r="P1114" s="287">
        <f t="shared" si="265"/>
        <v>0</v>
      </c>
      <c r="Q1114" s="288"/>
      <c r="R1114" s="243"/>
      <c r="S1114" s="385" t="str">
        <f t="shared" si="273"/>
        <v/>
      </c>
    </row>
    <row r="1115" spans="2:19" ht="26.25" hidden="1" thickBot="1">
      <c r="B1115" s="609">
        <v>91870</v>
      </c>
      <c r="C1115" s="610" t="s">
        <v>843</v>
      </c>
      <c r="D1115" s="611" t="s">
        <v>1251</v>
      </c>
      <c r="E1115" s="602"/>
      <c r="F1115" s="603"/>
      <c r="G1115" s="604"/>
      <c r="H1115" s="605"/>
      <c r="I1115" s="675">
        <v>9.84</v>
      </c>
      <c r="J1115" s="675">
        <f t="shared" si="272"/>
        <v>9.84</v>
      </c>
      <c r="K1115" s="606">
        <f t="shared" si="263"/>
        <v>11.94</v>
      </c>
      <c r="L1115" s="389" t="s">
        <v>19</v>
      </c>
      <c r="M1115" s="30"/>
      <c r="N1115" s="30"/>
      <c r="O1115" s="287">
        <f t="shared" si="264"/>
        <v>0</v>
      </c>
      <c r="P1115" s="287">
        <f t="shared" si="265"/>
        <v>0</v>
      </c>
      <c r="Q1115" s="288"/>
      <c r="R1115" s="243"/>
      <c r="S1115" s="385" t="str">
        <f t="shared" si="273"/>
        <v/>
      </c>
    </row>
    <row r="1116" spans="2:19" ht="26.25" hidden="1" thickBot="1">
      <c r="B1116" s="609">
        <v>91871</v>
      </c>
      <c r="C1116" s="610" t="s">
        <v>843</v>
      </c>
      <c r="D1116" s="611" t="s">
        <v>1252</v>
      </c>
      <c r="E1116" s="602"/>
      <c r="F1116" s="603"/>
      <c r="G1116" s="604"/>
      <c r="H1116" s="605"/>
      <c r="I1116" s="675">
        <v>11.38</v>
      </c>
      <c r="J1116" s="675">
        <f t="shared" ref="J1116:J1179" si="274">IF(ISBLANK(I1116),"",SUM(H1116:I1116))</f>
        <v>11.38</v>
      </c>
      <c r="K1116" s="606">
        <f t="shared" si="263"/>
        <v>13.81</v>
      </c>
      <c r="L1116" s="389" t="s">
        <v>19</v>
      </c>
      <c r="M1116" s="30"/>
      <c r="N1116" s="30"/>
      <c r="O1116" s="287">
        <f t="shared" si="264"/>
        <v>0</v>
      </c>
      <c r="P1116" s="287">
        <f t="shared" si="265"/>
        <v>0</v>
      </c>
      <c r="Q1116" s="288"/>
      <c r="R1116" s="243"/>
      <c r="S1116" s="385" t="str">
        <f t="shared" si="273"/>
        <v/>
      </c>
    </row>
    <row r="1117" spans="2:19" ht="26.25" hidden="1" thickBot="1">
      <c r="B1117" s="609">
        <v>91872</v>
      </c>
      <c r="C1117" s="610" t="s">
        <v>843</v>
      </c>
      <c r="D1117" s="611" t="s">
        <v>1253</v>
      </c>
      <c r="E1117" s="602"/>
      <c r="F1117" s="603"/>
      <c r="G1117" s="604"/>
      <c r="H1117" s="605"/>
      <c r="I1117" s="675">
        <v>14.57</v>
      </c>
      <c r="J1117" s="675">
        <f t="shared" si="274"/>
        <v>14.57</v>
      </c>
      <c r="K1117" s="606">
        <f t="shared" si="263"/>
        <v>17.68</v>
      </c>
      <c r="L1117" s="389" t="s">
        <v>19</v>
      </c>
      <c r="M1117" s="30"/>
      <c r="N1117" s="30"/>
      <c r="O1117" s="287">
        <f t="shared" si="264"/>
        <v>0</v>
      </c>
      <c r="P1117" s="287">
        <f t="shared" si="265"/>
        <v>0</v>
      </c>
      <c r="Q1117" s="288"/>
      <c r="R1117" s="243"/>
      <c r="S1117" s="385" t="str">
        <f t="shared" si="273"/>
        <v/>
      </c>
    </row>
    <row r="1118" spans="2:19" ht="26.25" hidden="1" thickBot="1">
      <c r="B1118" s="609">
        <v>91873</v>
      </c>
      <c r="C1118" s="610" t="s">
        <v>843</v>
      </c>
      <c r="D1118" s="611" t="s">
        <v>1254</v>
      </c>
      <c r="E1118" s="602"/>
      <c r="F1118" s="603"/>
      <c r="G1118" s="604"/>
      <c r="H1118" s="605"/>
      <c r="I1118" s="675">
        <v>17.73</v>
      </c>
      <c r="J1118" s="675">
        <f t="shared" si="274"/>
        <v>17.73</v>
      </c>
      <c r="K1118" s="606">
        <f t="shared" si="263"/>
        <v>21.52</v>
      </c>
      <c r="L1118" s="389" t="s">
        <v>19</v>
      </c>
      <c r="M1118" s="30"/>
      <c r="N1118" s="30"/>
      <c r="O1118" s="287">
        <f t="shared" si="264"/>
        <v>0</v>
      </c>
      <c r="P1118" s="287">
        <f t="shared" si="265"/>
        <v>0</v>
      </c>
      <c r="Q1118" s="288"/>
      <c r="R1118" s="243"/>
      <c r="S1118" s="385" t="str">
        <f t="shared" si="273"/>
        <v/>
      </c>
    </row>
    <row r="1119" spans="2:19" ht="13.5" hidden="1" thickBot="1">
      <c r="B1119" s="609">
        <v>93008</v>
      </c>
      <c r="C1119" s="610" t="s">
        <v>843</v>
      </c>
      <c r="D1119" s="611" t="s">
        <v>1255</v>
      </c>
      <c r="E1119" s="602"/>
      <c r="F1119" s="603"/>
      <c r="G1119" s="604"/>
      <c r="H1119" s="605"/>
      <c r="I1119" s="675">
        <v>14.3</v>
      </c>
      <c r="J1119" s="675">
        <f t="shared" si="274"/>
        <v>14.3</v>
      </c>
      <c r="K1119" s="606">
        <f t="shared" si="263"/>
        <v>17.350000000000001</v>
      </c>
      <c r="L1119" s="389" t="s">
        <v>19</v>
      </c>
      <c r="M1119" s="30"/>
      <c r="N1119" s="30"/>
      <c r="O1119" s="287">
        <f t="shared" si="264"/>
        <v>0</v>
      </c>
      <c r="P1119" s="287">
        <f t="shared" si="265"/>
        <v>0</v>
      </c>
      <c r="Q1119" s="288"/>
      <c r="R1119" s="243"/>
      <c r="S1119" s="385" t="str">
        <f t="shared" si="273"/>
        <v/>
      </c>
    </row>
    <row r="1120" spans="2:19" ht="13.5" hidden="1" thickBot="1">
      <c r="B1120" s="609">
        <v>93009</v>
      </c>
      <c r="C1120" s="610" t="s">
        <v>843</v>
      </c>
      <c r="D1120" s="611" t="s">
        <v>1256</v>
      </c>
      <c r="E1120" s="602"/>
      <c r="F1120" s="603"/>
      <c r="G1120" s="604"/>
      <c r="H1120" s="605"/>
      <c r="I1120" s="675">
        <v>20.93</v>
      </c>
      <c r="J1120" s="675">
        <f t="shared" si="274"/>
        <v>20.93</v>
      </c>
      <c r="K1120" s="606">
        <f t="shared" si="263"/>
        <v>25.4</v>
      </c>
      <c r="L1120" s="389" t="s">
        <v>19</v>
      </c>
      <c r="M1120" s="30"/>
      <c r="N1120" s="30"/>
      <c r="O1120" s="287">
        <f t="shared" si="264"/>
        <v>0</v>
      </c>
      <c r="P1120" s="287">
        <f t="shared" si="265"/>
        <v>0</v>
      </c>
      <c r="Q1120" s="288"/>
      <c r="R1120" s="243"/>
      <c r="S1120" s="385" t="str">
        <f t="shared" si="273"/>
        <v/>
      </c>
    </row>
    <row r="1121" spans="2:19" ht="13.5" hidden="1" thickBot="1">
      <c r="B1121" s="609">
        <v>93010</v>
      </c>
      <c r="C1121" s="610" t="s">
        <v>843</v>
      </c>
      <c r="D1121" s="611" t="s">
        <v>1257</v>
      </c>
      <c r="E1121" s="602"/>
      <c r="F1121" s="603"/>
      <c r="G1121" s="604"/>
      <c r="H1121" s="605"/>
      <c r="I1121" s="675">
        <v>29.01</v>
      </c>
      <c r="J1121" s="675">
        <f t="shared" si="274"/>
        <v>29.01</v>
      </c>
      <c r="K1121" s="606">
        <f t="shared" si="263"/>
        <v>35.200000000000003</v>
      </c>
      <c r="L1121" s="389" t="s">
        <v>19</v>
      </c>
      <c r="M1121" s="30"/>
      <c r="N1121" s="30"/>
      <c r="O1121" s="287">
        <f t="shared" si="264"/>
        <v>0</v>
      </c>
      <c r="P1121" s="287">
        <f t="shared" si="265"/>
        <v>0</v>
      </c>
      <c r="Q1121" s="288"/>
      <c r="R1121" s="243"/>
      <c r="S1121" s="385" t="str">
        <f t="shared" si="273"/>
        <v/>
      </c>
    </row>
    <row r="1122" spans="2:19" ht="13.5" hidden="1" thickBot="1">
      <c r="B1122" s="609">
        <v>93011</v>
      </c>
      <c r="C1122" s="610" t="s">
        <v>843</v>
      </c>
      <c r="D1122" s="611" t="s">
        <v>1258</v>
      </c>
      <c r="E1122" s="602"/>
      <c r="F1122" s="603"/>
      <c r="G1122" s="604"/>
      <c r="H1122" s="605"/>
      <c r="I1122" s="675">
        <v>35.4</v>
      </c>
      <c r="J1122" s="675">
        <f t="shared" si="274"/>
        <v>35.4</v>
      </c>
      <c r="K1122" s="606">
        <f t="shared" si="263"/>
        <v>42.96</v>
      </c>
      <c r="L1122" s="389" t="s">
        <v>19</v>
      </c>
      <c r="M1122" s="30"/>
      <c r="N1122" s="30"/>
      <c r="O1122" s="287">
        <f t="shared" si="264"/>
        <v>0</v>
      </c>
      <c r="P1122" s="287">
        <f t="shared" si="265"/>
        <v>0</v>
      </c>
      <c r="Q1122" s="288"/>
      <c r="R1122" s="243"/>
      <c r="S1122" s="385" t="str">
        <f t="shared" si="273"/>
        <v/>
      </c>
    </row>
    <row r="1123" spans="2:19" ht="13.5" hidden="1" thickBot="1">
      <c r="B1123" s="609">
        <v>93012</v>
      </c>
      <c r="C1123" s="610" t="s">
        <v>843</v>
      </c>
      <c r="D1123" s="611" t="s">
        <v>1259</v>
      </c>
      <c r="E1123" s="602"/>
      <c r="F1123" s="603"/>
      <c r="G1123" s="604"/>
      <c r="H1123" s="605"/>
      <c r="I1123" s="675">
        <v>53.26</v>
      </c>
      <c r="J1123" s="675">
        <f t="shared" si="274"/>
        <v>53.26</v>
      </c>
      <c r="K1123" s="606">
        <f t="shared" si="263"/>
        <v>64.63</v>
      </c>
      <c r="L1123" s="389" t="s">
        <v>19</v>
      </c>
      <c r="M1123" s="30"/>
      <c r="N1123" s="30"/>
      <c r="O1123" s="287">
        <f t="shared" si="264"/>
        <v>0</v>
      </c>
      <c r="P1123" s="287">
        <f t="shared" si="265"/>
        <v>0</v>
      </c>
      <c r="Q1123" s="288"/>
      <c r="R1123" s="243"/>
      <c r="S1123" s="385" t="str">
        <f t="shared" si="273"/>
        <v/>
      </c>
    </row>
    <row r="1124" spans="2:19" ht="26.25" hidden="1" thickBot="1">
      <c r="B1124" s="609">
        <v>95726</v>
      </c>
      <c r="C1124" s="610" t="s">
        <v>843</v>
      </c>
      <c r="D1124" s="611" t="s">
        <v>1260</v>
      </c>
      <c r="E1124" s="602"/>
      <c r="F1124" s="603"/>
      <c r="G1124" s="604"/>
      <c r="H1124" s="605"/>
      <c r="I1124" s="675">
        <v>5.85</v>
      </c>
      <c r="J1124" s="675">
        <f t="shared" si="274"/>
        <v>5.85</v>
      </c>
      <c r="K1124" s="606">
        <f t="shared" si="263"/>
        <v>7.1</v>
      </c>
      <c r="L1124" s="389" t="s">
        <v>19</v>
      </c>
      <c r="M1124" s="30"/>
      <c r="N1124" s="30"/>
      <c r="O1124" s="287">
        <f t="shared" si="264"/>
        <v>0</v>
      </c>
      <c r="P1124" s="287">
        <f t="shared" si="265"/>
        <v>0</v>
      </c>
      <c r="Q1124" s="288"/>
      <c r="R1124" s="243"/>
      <c r="S1124" s="385" t="str">
        <f t="shared" si="273"/>
        <v/>
      </c>
    </row>
    <row r="1125" spans="2:19" ht="26.25" hidden="1" thickBot="1">
      <c r="B1125" s="609">
        <v>95727</v>
      </c>
      <c r="C1125" s="610" t="s">
        <v>843</v>
      </c>
      <c r="D1125" s="611" t="s">
        <v>1261</v>
      </c>
      <c r="E1125" s="602"/>
      <c r="F1125" s="603"/>
      <c r="G1125" s="604"/>
      <c r="H1125" s="605"/>
      <c r="I1125" s="675">
        <v>6.67</v>
      </c>
      <c r="J1125" s="675">
        <f t="shared" si="274"/>
        <v>6.67</v>
      </c>
      <c r="K1125" s="606">
        <f t="shared" si="263"/>
        <v>8.09</v>
      </c>
      <c r="L1125" s="389" t="s">
        <v>19</v>
      </c>
      <c r="M1125" s="30"/>
      <c r="N1125" s="30"/>
      <c r="O1125" s="287">
        <f t="shared" si="264"/>
        <v>0</v>
      </c>
      <c r="P1125" s="287">
        <f t="shared" si="265"/>
        <v>0</v>
      </c>
      <c r="Q1125" s="288"/>
      <c r="R1125" s="243"/>
      <c r="S1125" s="385" t="str">
        <f t="shared" si="273"/>
        <v/>
      </c>
    </row>
    <row r="1126" spans="2:19" ht="26.25" hidden="1" thickBot="1">
      <c r="B1126" s="609">
        <v>95728</v>
      </c>
      <c r="C1126" s="610" t="s">
        <v>843</v>
      </c>
      <c r="D1126" s="611" t="s">
        <v>1262</v>
      </c>
      <c r="E1126" s="602"/>
      <c r="F1126" s="603"/>
      <c r="G1126" s="604"/>
      <c r="H1126" s="605"/>
      <c r="I1126" s="675">
        <v>8.41</v>
      </c>
      <c r="J1126" s="675">
        <f t="shared" si="274"/>
        <v>8.41</v>
      </c>
      <c r="K1126" s="606">
        <f t="shared" si="263"/>
        <v>10.210000000000001</v>
      </c>
      <c r="L1126" s="389" t="s">
        <v>19</v>
      </c>
      <c r="M1126" s="30"/>
      <c r="N1126" s="30"/>
      <c r="O1126" s="287">
        <f t="shared" si="264"/>
        <v>0</v>
      </c>
      <c r="P1126" s="287">
        <f t="shared" si="265"/>
        <v>0</v>
      </c>
      <c r="Q1126" s="288"/>
      <c r="R1126" s="243"/>
      <c r="S1126" s="385" t="str">
        <f t="shared" si="273"/>
        <v/>
      </c>
    </row>
    <row r="1127" spans="2:19" ht="26.25" hidden="1" thickBot="1">
      <c r="B1127" s="609">
        <v>95729</v>
      </c>
      <c r="C1127" s="610" t="s">
        <v>843</v>
      </c>
      <c r="D1127" s="611" t="s">
        <v>1263</v>
      </c>
      <c r="E1127" s="602"/>
      <c r="F1127" s="603"/>
      <c r="G1127" s="604"/>
      <c r="H1127" s="605"/>
      <c r="I1127" s="675">
        <v>7.77</v>
      </c>
      <c r="J1127" s="675">
        <f t="shared" si="274"/>
        <v>7.77</v>
      </c>
      <c r="K1127" s="606">
        <f t="shared" si="263"/>
        <v>9.43</v>
      </c>
      <c r="L1127" s="389" t="s">
        <v>19</v>
      </c>
      <c r="M1127" s="30"/>
      <c r="N1127" s="30"/>
      <c r="O1127" s="287">
        <f t="shared" si="264"/>
        <v>0</v>
      </c>
      <c r="P1127" s="287">
        <f t="shared" si="265"/>
        <v>0</v>
      </c>
      <c r="Q1127" s="288"/>
      <c r="R1127" s="243"/>
      <c r="S1127" s="385" t="str">
        <f t="shared" si="273"/>
        <v/>
      </c>
    </row>
    <row r="1128" spans="2:19" ht="26.25" hidden="1" thickBot="1">
      <c r="B1128" s="609">
        <v>95730</v>
      </c>
      <c r="C1128" s="610" t="s">
        <v>843</v>
      </c>
      <c r="D1128" s="611" t="s">
        <v>1264</v>
      </c>
      <c r="E1128" s="602"/>
      <c r="F1128" s="603"/>
      <c r="G1128" s="604"/>
      <c r="H1128" s="605"/>
      <c r="I1128" s="675">
        <v>8.59</v>
      </c>
      <c r="J1128" s="675">
        <f t="shared" si="274"/>
        <v>8.59</v>
      </c>
      <c r="K1128" s="606">
        <f t="shared" si="263"/>
        <v>10.42</v>
      </c>
      <c r="L1128" s="389" t="s">
        <v>19</v>
      </c>
      <c r="M1128" s="30"/>
      <c r="N1128" s="30"/>
      <c r="O1128" s="287">
        <f t="shared" si="264"/>
        <v>0</v>
      </c>
      <c r="P1128" s="287">
        <f t="shared" si="265"/>
        <v>0</v>
      </c>
      <c r="Q1128" s="288"/>
      <c r="R1128" s="243"/>
      <c r="S1128" s="385" t="str">
        <f t="shared" si="273"/>
        <v/>
      </c>
    </row>
    <row r="1129" spans="2:19" ht="26.25" hidden="1" thickBot="1">
      <c r="B1129" s="609">
        <v>95731</v>
      </c>
      <c r="C1129" s="610" t="s">
        <v>843</v>
      </c>
      <c r="D1129" s="611" t="s">
        <v>1265</v>
      </c>
      <c r="E1129" s="602"/>
      <c r="F1129" s="603"/>
      <c r="G1129" s="604"/>
      <c r="H1129" s="605"/>
      <c r="I1129" s="675">
        <v>10.33</v>
      </c>
      <c r="J1129" s="675">
        <f t="shared" si="274"/>
        <v>10.33</v>
      </c>
      <c r="K1129" s="606">
        <f t="shared" si="263"/>
        <v>12.54</v>
      </c>
      <c r="L1129" s="389" t="s">
        <v>19</v>
      </c>
      <c r="M1129" s="30"/>
      <c r="N1129" s="30"/>
      <c r="O1129" s="287">
        <f t="shared" si="264"/>
        <v>0</v>
      </c>
      <c r="P1129" s="287">
        <f t="shared" si="265"/>
        <v>0</v>
      </c>
      <c r="Q1129" s="288"/>
      <c r="R1129" s="243"/>
      <c r="S1129" s="385" t="str">
        <f t="shared" si="273"/>
        <v/>
      </c>
    </row>
    <row r="1130" spans="2:19" ht="26.25" hidden="1" thickBot="1">
      <c r="B1130" s="609">
        <v>95733</v>
      </c>
      <c r="C1130" s="610" t="s">
        <v>843</v>
      </c>
      <c r="D1130" s="611" t="s">
        <v>1266</v>
      </c>
      <c r="E1130" s="602"/>
      <c r="F1130" s="603"/>
      <c r="G1130" s="604"/>
      <c r="H1130" s="605"/>
      <c r="I1130" s="675">
        <v>5.62</v>
      </c>
      <c r="J1130" s="675">
        <f t="shared" si="274"/>
        <v>5.62</v>
      </c>
      <c r="K1130" s="606">
        <f t="shared" si="263"/>
        <v>6.82</v>
      </c>
      <c r="L1130" s="389" t="s">
        <v>21</v>
      </c>
      <c r="M1130" s="30"/>
      <c r="N1130" s="30"/>
      <c r="O1130" s="287">
        <f t="shared" si="264"/>
        <v>0</v>
      </c>
      <c r="P1130" s="287">
        <f t="shared" si="265"/>
        <v>0</v>
      </c>
      <c r="Q1130" s="288"/>
      <c r="R1130" s="243"/>
      <c r="S1130" s="385" t="str">
        <f t="shared" si="273"/>
        <v/>
      </c>
    </row>
    <row r="1131" spans="2:19" ht="26.25" hidden="1" thickBot="1">
      <c r="B1131" s="609">
        <v>95734</v>
      </c>
      <c r="C1131" s="610" t="s">
        <v>843</v>
      </c>
      <c r="D1131" s="611" t="s">
        <v>1267</v>
      </c>
      <c r="E1131" s="602"/>
      <c r="F1131" s="603"/>
      <c r="G1131" s="604"/>
      <c r="H1131" s="605"/>
      <c r="I1131" s="675">
        <v>7.48</v>
      </c>
      <c r="J1131" s="675">
        <f t="shared" si="274"/>
        <v>7.48</v>
      </c>
      <c r="K1131" s="606">
        <f t="shared" si="263"/>
        <v>9.08</v>
      </c>
      <c r="L1131" s="389" t="s">
        <v>21</v>
      </c>
      <c r="M1131" s="30"/>
      <c r="N1131" s="30"/>
      <c r="O1131" s="287">
        <f t="shared" si="264"/>
        <v>0</v>
      </c>
      <c r="P1131" s="287">
        <f t="shared" si="265"/>
        <v>0</v>
      </c>
      <c r="Q1131" s="288"/>
      <c r="R1131" s="243"/>
      <c r="S1131" s="385" t="str">
        <f t="shared" si="273"/>
        <v/>
      </c>
    </row>
    <row r="1132" spans="2:19" ht="26.25" hidden="1" thickBot="1">
      <c r="B1132" s="609">
        <v>95735</v>
      </c>
      <c r="C1132" s="610" t="s">
        <v>843</v>
      </c>
      <c r="D1132" s="611" t="s">
        <v>1268</v>
      </c>
      <c r="E1132" s="602"/>
      <c r="F1132" s="603"/>
      <c r="G1132" s="604"/>
      <c r="H1132" s="605"/>
      <c r="I1132" s="675">
        <v>6.28</v>
      </c>
      <c r="J1132" s="675">
        <f t="shared" si="274"/>
        <v>6.28</v>
      </c>
      <c r="K1132" s="606">
        <f t="shared" si="263"/>
        <v>7.62</v>
      </c>
      <c r="L1132" s="389" t="s">
        <v>21</v>
      </c>
      <c r="M1132" s="30"/>
      <c r="N1132" s="30"/>
      <c r="O1132" s="287">
        <f t="shared" si="264"/>
        <v>0</v>
      </c>
      <c r="P1132" s="287">
        <f t="shared" si="265"/>
        <v>0</v>
      </c>
      <c r="Q1132" s="288"/>
      <c r="R1132" s="243"/>
      <c r="S1132" s="385" t="str">
        <f t="shared" si="273"/>
        <v/>
      </c>
    </row>
    <row r="1133" spans="2:19" ht="26.25" hidden="1" thickBot="1">
      <c r="B1133" s="609">
        <v>95736</v>
      </c>
      <c r="C1133" s="610" t="s">
        <v>843</v>
      </c>
      <c r="D1133" s="611" t="s">
        <v>1269</v>
      </c>
      <c r="E1133" s="602"/>
      <c r="F1133" s="603"/>
      <c r="G1133" s="604"/>
      <c r="H1133" s="605"/>
      <c r="I1133" s="675">
        <v>7.38</v>
      </c>
      <c r="J1133" s="675">
        <f t="shared" si="274"/>
        <v>7.38</v>
      </c>
      <c r="K1133" s="606">
        <f t="shared" si="263"/>
        <v>8.9600000000000009</v>
      </c>
      <c r="L1133" s="389" t="s">
        <v>21</v>
      </c>
      <c r="M1133" s="30"/>
      <c r="N1133" s="30"/>
      <c r="O1133" s="287">
        <f t="shared" si="264"/>
        <v>0</v>
      </c>
      <c r="P1133" s="287">
        <f t="shared" si="265"/>
        <v>0</v>
      </c>
      <c r="Q1133" s="288"/>
      <c r="R1133" s="243"/>
      <c r="S1133" s="385" t="str">
        <f t="shared" si="273"/>
        <v/>
      </c>
    </row>
    <row r="1134" spans="2:19" ht="26.25" hidden="1" thickBot="1">
      <c r="B1134" s="609">
        <v>95738</v>
      </c>
      <c r="C1134" s="610" t="s">
        <v>843</v>
      </c>
      <c r="D1134" s="611" t="s">
        <v>1270</v>
      </c>
      <c r="E1134" s="602"/>
      <c r="F1134" s="603"/>
      <c r="G1134" s="604"/>
      <c r="H1134" s="605"/>
      <c r="I1134" s="675">
        <v>8.91</v>
      </c>
      <c r="J1134" s="675">
        <f t="shared" si="274"/>
        <v>8.91</v>
      </c>
      <c r="K1134" s="606">
        <f t="shared" si="263"/>
        <v>10.81</v>
      </c>
      <c r="L1134" s="389" t="s">
        <v>21</v>
      </c>
      <c r="M1134" s="30"/>
      <c r="N1134" s="30"/>
      <c r="O1134" s="287">
        <f t="shared" si="264"/>
        <v>0</v>
      </c>
      <c r="P1134" s="287">
        <f t="shared" si="265"/>
        <v>0</v>
      </c>
      <c r="Q1134" s="288"/>
      <c r="R1134" s="243"/>
      <c r="S1134" s="385" t="str">
        <f t="shared" si="273"/>
        <v/>
      </c>
    </row>
    <row r="1135" spans="2:19" ht="26.25" hidden="1" thickBot="1">
      <c r="B1135" s="609">
        <v>95732</v>
      </c>
      <c r="C1135" s="610" t="s">
        <v>843</v>
      </c>
      <c r="D1135" s="611" t="s">
        <v>1271</v>
      </c>
      <c r="E1135" s="602"/>
      <c r="F1135" s="603"/>
      <c r="G1135" s="604"/>
      <c r="H1135" s="605"/>
      <c r="I1135" s="675">
        <v>4.29</v>
      </c>
      <c r="J1135" s="675">
        <f t="shared" si="274"/>
        <v>4.29</v>
      </c>
      <c r="K1135" s="606">
        <f t="shared" si="263"/>
        <v>5.21</v>
      </c>
      <c r="L1135" s="389" t="s">
        <v>21</v>
      </c>
      <c r="M1135" s="30"/>
      <c r="N1135" s="30"/>
      <c r="O1135" s="287">
        <f t="shared" si="264"/>
        <v>0</v>
      </c>
      <c r="P1135" s="287">
        <f t="shared" si="265"/>
        <v>0</v>
      </c>
      <c r="Q1135" s="288"/>
      <c r="R1135" s="243"/>
      <c r="S1135" s="385" t="str">
        <f t="shared" si="273"/>
        <v/>
      </c>
    </row>
    <row r="1136" spans="2:19" ht="26.25" hidden="1" thickBot="1">
      <c r="B1136" s="609">
        <v>95745</v>
      </c>
      <c r="C1136" s="610" t="s">
        <v>843</v>
      </c>
      <c r="D1136" s="611" t="s">
        <v>1272</v>
      </c>
      <c r="E1136" s="602"/>
      <c r="F1136" s="603"/>
      <c r="G1136" s="604"/>
      <c r="H1136" s="605"/>
      <c r="I1136" s="675">
        <v>15.35</v>
      </c>
      <c r="J1136" s="675">
        <f t="shared" si="274"/>
        <v>15.35</v>
      </c>
      <c r="K1136" s="606">
        <f t="shared" si="263"/>
        <v>18.63</v>
      </c>
      <c r="L1136" s="389" t="s">
        <v>19</v>
      </c>
      <c r="M1136" s="30"/>
      <c r="N1136" s="30"/>
      <c r="O1136" s="287">
        <f t="shared" si="264"/>
        <v>0</v>
      </c>
      <c r="P1136" s="287">
        <f t="shared" si="265"/>
        <v>0</v>
      </c>
      <c r="Q1136" s="288"/>
      <c r="R1136" s="243"/>
      <c r="S1136" s="385" t="str">
        <f t="shared" si="273"/>
        <v/>
      </c>
    </row>
    <row r="1137" spans="2:19" ht="26.25" hidden="1" thickBot="1">
      <c r="B1137" s="609">
        <v>95746</v>
      </c>
      <c r="C1137" s="610" t="s">
        <v>843</v>
      </c>
      <c r="D1137" s="611" t="s">
        <v>1273</v>
      </c>
      <c r="E1137" s="602"/>
      <c r="F1137" s="603"/>
      <c r="G1137" s="604"/>
      <c r="H1137" s="605"/>
      <c r="I1137" s="675">
        <v>18.91</v>
      </c>
      <c r="J1137" s="675">
        <f t="shared" si="274"/>
        <v>18.91</v>
      </c>
      <c r="K1137" s="606">
        <f t="shared" si="263"/>
        <v>22.95</v>
      </c>
      <c r="L1137" s="389" t="s">
        <v>19</v>
      </c>
      <c r="M1137" s="30"/>
      <c r="N1137" s="30"/>
      <c r="O1137" s="287">
        <f t="shared" si="264"/>
        <v>0</v>
      </c>
      <c r="P1137" s="287">
        <f t="shared" si="265"/>
        <v>0</v>
      </c>
      <c r="Q1137" s="288"/>
      <c r="R1137" s="243"/>
      <c r="S1137" s="385" t="str">
        <f t="shared" si="273"/>
        <v/>
      </c>
    </row>
    <row r="1138" spans="2:19" ht="26.25" hidden="1" thickBot="1">
      <c r="B1138" s="609">
        <v>95747</v>
      </c>
      <c r="C1138" s="610" t="s">
        <v>843</v>
      </c>
      <c r="D1138" s="611" t="s">
        <v>1274</v>
      </c>
      <c r="E1138" s="602"/>
      <c r="F1138" s="603"/>
      <c r="G1138" s="604"/>
      <c r="H1138" s="605"/>
      <c r="I1138" s="675">
        <v>29.63</v>
      </c>
      <c r="J1138" s="675">
        <f t="shared" si="274"/>
        <v>29.63</v>
      </c>
      <c r="K1138" s="606">
        <f t="shared" si="263"/>
        <v>35.96</v>
      </c>
      <c r="L1138" s="389" t="s">
        <v>19</v>
      </c>
      <c r="M1138" s="30"/>
      <c r="N1138" s="30"/>
      <c r="O1138" s="287">
        <f t="shared" si="264"/>
        <v>0</v>
      </c>
      <c r="P1138" s="287">
        <f t="shared" si="265"/>
        <v>0</v>
      </c>
      <c r="Q1138" s="288"/>
      <c r="R1138" s="243"/>
      <c r="S1138" s="385" t="str">
        <f t="shared" si="273"/>
        <v/>
      </c>
    </row>
    <row r="1139" spans="2:19" ht="26.25" hidden="1" thickBot="1">
      <c r="B1139" s="609">
        <v>95748</v>
      </c>
      <c r="C1139" s="610" t="s">
        <v>843</v>
      </c>
      <c r="D1139" s="611" t="s">
        <v>1275</v>
      </c>
      <c r="E1139" s="602"/>
      <c r="F1139" s="603"/>
      <c r="G1139" s="604"/>
      <c r="H1139" s="605"/>
      <c r="I1139" s="675">
        <v>32.58</v>
      </c>
      <c r="J1139" s="675">
        <f t="shared" si="274"/>
        <v>32.58</v>
      </c>
      <c r="K1139" s="606">
        <f t="shared" si="263"/>
        <v>39.54</v>
      </c>
      <c r="L1139" s="389" t="s">
        <v>19</v>
      </c>
      <c r="M1139" s="30"/>
      <c r="N1139" s="30"/>
      <c r="O1139" s="287">
        <f t="shared" si="264"/>
        <v>0</v>
      </c>
      <c r="P1139" s="287">
        <f t="shared" si="265"/>
        <v>0</v>
      </c>
      <c r="Q1139" s="288"/>
      <c r="R1139" s="243"/>
      <c r="S1139" s="385" t="str">
        <f t="shared" si="273"/>
        <v/>
      </c>
    </row>
    <row r="1140" spans="2:19" ht="26.25" hidden="1" thickBot="1">
      <c r="B1140" s="609">
        <v>95749</v>
      </c>
      <c r="C1140" s="610" t="s">
        <v>843</v>
      </c>
      <c r="D1140" s="611" t="s">
        <v>1276</v>
      </c>
      <c r="E1140" s="602"/>
      <c r="F1140" s="603"/>
      <c r="G1140" s="604"/>
      <c r="H1140" s="605"/>
      <c r="I1140" s="675">
        <v>21.58</v>
      </c>
      <c r="J1140" s="675">
        <f t="shared" si="274"/>
        <v>21.58</v>
      </c>
      <c r="K1140" s="606">
        <f t="shared" si="263"/>
        <v>26.19</v>
      </c>
      <c r="L1140" s="389" t="s">
        <v>19</v>
      </c>
      <c r="M1140" s="30"/>
      <c r="N1140" s="30"/>
      <c r="O1140" s="287">
        <f t="shared" si="264"/>
        <v>0</v>
      </c>
      <c r="P1140" s="287">
        <f t="shared" si="265"/>
        <v>0</v>
      </c>
      <c r="Q1140" s="288"/>
      <c r="R1140" s="243"/>
      <c r="S1140" s="385" t="str">
        <f t="shared" si="273"/>
        <v/>
      </c>
    </row>
    <row r="1141" spans="2:19" ht="26.25" hidden="1" thickBot="1">
      <c r="B1141" s="609">
        <v>95750</v>
      </c>
      <c r="C1141" s="610" t="s">
        <v>843</v>
      </c>
      <c r="D1141" s="611" t="s">
        <v>1277</v>
      </c>
      <c r="E1141" s="602"/>
      <c r="F1141" s="603"/>
      <c r="G1141" s="604"/>
      <c r="H1141" s="605"/>
      <c r="I1141" s="675">
        <v>24.99</v>
      </c>
      <c r="J1141" s="675">
        <f t="shared" si="274"/>
        <v>24.99</v>
      </c>
      <c r="K1141" s="606">
        <f t="shared" si="263"/>
        <v>30.33</v>
      </c>
      <c r="L1141" s="389" t="s">
        <v>19</v>
      </c>
      <c r="M1141" s="30"/>
      <c r="N1141" s="30"/>
      <c r="O1141" s="287">
        <f t="shared" si="264"/>
        <v>0</v>
      </c>
      <c r="P1141" s="287">
        <f t="shared" si="265"/>
        <v>0</v>
      </c>
      <c r="Q1141" s="288"/>
      <c r="R1141" s="243"/>
      <c r="S1141" s="385" t="str">
        <f t="shared" si="273"/>
        <v/>
      </c>
    </row>
    <row r="1142" spans="2:19" ht="26.25" hidden="1" thickBot="1">
      <c r="B1142" s="609">
        <v>95751</v>
      </c>
      <c r="C1142" s="610" t="s">
        <v>843</v>
      </c>
      <c r="D1142" s="611" t="s">
        <v>1278</v>
      </c>
      <c r="E1142" s="602"/>
      <c r="F1142" s="603"/>
      <c r="G1142" s="604"/>
      <c r="H1142" s="605"/>
      <c r="I1142" s="675">
        <v>35.520000000000003</v>
      </c>
      <c r="J1142" s="675">
        <f t="shared" si="274"/>
        <v>35.520000000000003</v>
      </c>
      <c r="K1142" s="606">
        <f t="shared" si="263"/>
        <v>43.1</v>
      </c>
      <c r="L1142" s="389" t="s">
        <v>19</v>
      </c>
      <c r="M1142" s="30"/>
      <c r="N1142" s="30"/>
      <c r="O1142" s="287">
        <f t="shared" si="264"/>
        <v>0</v>
      </c>
      <c r="P1142" s="287">
        <f t="shared" si="265"/>
        <v>0</v>
      </c>
      <c r="Q1142" s="288"/>
      <c r="R1142" s="243"/>
      <c r="S1142" s="385" t="str">
        <f t="shared" si="273"/>
        <v/>
      </c>
    </row>
    <row r="1143" spans="2:19" ht="26.25" hidden="1" thickBot="1">
      <c r="B1143" s="609">
        <v>95752</v>
      </c>
      <c r="C1143" s="610" t="s">
        <v>843</v>
      </c>
      <c r="D1143" s="611" t="s">
        <v>1279</v>
      </c>
      <c r="E1143" s="602"/>
      <c r="F1143" s="603"/>
      <c r="G1143" s="604"/>
      <c r="H1143" s="605"/>
      <c r="I1143" s="675">
        <v>38.26</v>
      </c>
      <c r="J1143" s="675">
        <f t="shared" si="274"/>
        <v>38.26</v>
      </c>
      <c r="K1143" s="606">
        <f t="shared" si="263"/>
        <v>46.43</v>
      </c>
      <c r="L1143" s="389" t="s">
        <v>19</v>
      </c>
      <c r="M1143" s="30"/>
      <c r="N1143" s="30"/>
      <c r="O1143" s="287">
        <f t="shared" si="264"/>
        <v>0</v>
      </c>
      <c r="P1143" s="287">
        <f t="shared" si="265"/>
        <v>0</v>
      </c>
      <c r="Q1143" s="288"/>
      <c r="R1143" s="243"/>
      <c r="S1143" s="385" t="str">
        <f t="shared" si="273"/>
        <v/>
      </c>
    </row>
    <row r="1144" spans="2:19" ht="26.25" hidden="1" thickBot="1">
      <c r="B1144" s="609">
        <v>95753</v>
      </c>
      <c r="C1144" s="610" t="s">
        <v>843</v>
      </c>
      <c r="D1144" s="611" t="s">
        <v>1280</v>
      </c>
      <c r="E1144" s="602"/>
      <c r="F1144" s="603"/>
      <c r="G1144" s="604"/>
      <c r="H1144" s="605"/>
      <c r="I1144" s="675">
        <v>5.97</v>
      </c>
      <c r="J1144" s="675">
        <f t="shared" si="274"/>
        <v>5.97</v>
      </c>
      <c r="K1144" s="606">
        <f t="shared" si="263"/>
        <v>7.24</v>
      </c>
      <c r="L1144" s="389" t="s">
        <v>21</v>
      </c>
      <c r="M1144" s="30"/>
      <c r="N1144" s="30"/>
      <c r="O1144" s="287">
        <f t="shared" si="264"/>
        <v>0</v>
      </c>
      <c r="P1144" s="287">
        <f t="shared" si="265"/>
        <v>0</v>
      </c>
      <c r="Q1144" s="288"/>
      <c r="R1144" s="243"/>
      <c r="S1144" s="385" t="str">
        <f t="shared" si="273"/>
        <v/>
      </c>
    </row>
    <row r="1145" spans="2:19" ht="26.25" hidden="1" thickBot="1">
      <c r="B1145" s="609">
        <v>95754</v>
      </c>
      <c r="C1145" s="610" t="s">
        <v>843</v>
      </c>
      <c r="D1145" s="611" t="s">
        <v>1281</v>
      </c>
      <c r="E1145" s="602"/>
      <c r="F1145" s="603"/>
      <c r="G1145" s="604"/>
      <c r="H1145" s="605"/>
      <c r="I1145" s="675">
        <v>7.52</v>
      </c>
      <c r="J1145" s="675">
        <f t="shared" si="274"/>
        <v>7.52</v>
      </c>
      <c r="K1145" s="606">
        <f t="shared" si="263"/>
        <v>9.1300000000000008</v>
      </c>
      <c r="L1145" s="389" t="s">
        <v>21</v>
      </c>
      <c r="M1145" s="30"/>
      <c r="N1145" s="30"/>
      <c r="O1145" s="287">
        <f t="shared" si="264"/>
        <v>0</v>
      </c>
      <c r="P1145" s="287">
        <f t="shared" si="265"/>
        <v>0</v>
      </c>
      <c r="Q1145" s="288"/>
      <c r="R1145" s="243"/>
      <c r="S1145" s="385" t="str">
        <f t="shared" si="273"/>
        <v/>
      </c>
    </row>
    <row r="1146" spans="2:19" ht="26.25" hidden="1" thickBot="1">
      <c r="B1146" s="609">
        <v>95755</v>
      </c>
      <c r="C1146" s="610" t="s">
        <v>843</v>
      </c>
      <c r="D1146" s="611" t="s">
        <v>1282</v>
      </c>
      <c r="E1146" s="602"/>
      <c r="F1146" s="603"/>
      <c r="G1146" s="604"/>
      <c r="H1146" s="605"/>
      <c r="I1146" s="675">
        <v>10.48</v>
      </c>
      <c r="J1146" s="675">
        <f t="shared" si="274"/>
        <v>10.48</v>
      </c>
      <c r="K1146" s="606">
        <f t="shared" si="263"/>
        <v>12.72</v>
      </c>
      <c r="L1146" s="389" t="s">
        <v>21</v>
      </c>
      <c r="M1146" s="30"/>
      <c r="N1146" s="30"/>
      <c r="O1146" s="287">
        <f t="shared" si="264"/>
        <v>0</v>
      </c>
      <c r="P1146" s="287">
        <f t="shared" si="265"/>
        <v>0</v>
      </c>
      <c r="Q1146" s="288"/>
      <c r="R1146" s="243"/>
      <c r="S1146" s="385" t="str">
        <f t="shared" si="273"/>
        <v/>
      </c>
    </row>
    <row r="1147" spans="2:19" ht="26.25" hidden="1" thickBot="1">
      <c r="B1147" s="609">
        <v>95756</v>
      </c>
      <c r="C1147" s="610" t="s">
        <v>843</v>
      </c>
      <c r="D1147" s="611" t="s">
        <v>1283</v>
      </c>
      <c r="E1147" s="602"/>
      <c r="F1147" s="603"/>
      <c r="G1147" s="604"/>
      <c r="H1147" s="605"/>
      <c r="I1147" s="675">
        <v>13.75</v>
      </c>
      <c r="J1147" s="675">
        <f t="shared" si="274"/>
        <v>13.75</v>
      </c>
      <c r="K1147" s="606">
        <f t="shared" si="263"/>
        <v>16.690000000000001</v>
      </c>
      <c r="L1147" s="389" t="s">
        <v>21</v>
      </c>
      <c r="M1147" s="30"/>
      <c r="N1147" s="30"/>
      <c r="O1147" s="287">
        <f t="shared" si="264"/>
        <v>0</v>
      </c>
      <c r="P1147" s="287">
        <f t="shared" si="265"/>
        <v>0</v>
      </c>
      <c r="Q1147" s="288"/>
      <c r="R1147" s="243"/>
      <c r="S1147" s="385" t="str">
        <f t="shared" si="273"/>
        <v/>
      </c>
    </row>
    <row r="1148" spans="2:19" ht="26.25" hidden="1" thickBot="1">
      <c r="B1148" s="609">
        <v>95757</v>
      </c>
      <c r="C1148" s="610" t="s">
        <v>843</v>
      </c>
      <c r="D1148" s="611" t="s">
        <v>1284</v>
      </c>
      <c r="E1148" s="602"/>
      <c r="F1148" s="603"/>
      <c r="G1148" s="604"/>
      <c r="H1148" s="605"/>
      <c r="I1148" s="675">
        <v>9.44</v>
      </c>
      <c r="J1148" s="675">
        <f t="shared" si="274"/>
        <v>9.44</v>
      </c>
      <c r="K1148" s="606">
        <f t="shared" si="263"/>
        <v>11.46</v>
      </c>
      <c r="L1148" s="389" t="s">
        <v>21</v>
      </c>
      <c r="M1148" s="30"/>
      <c r="N1148" s="30"/>
      <c r="O1148" s="287">
        <f t="shared" si="264"/>
        <v>0</v>
      </c>
      <c r="P1148" s="287">
        <f t="shared" si="265"/>
        <v>0</v>
      </c>
      <c r="Q1148" s="288"/>
      <c r="R1148" s="243"/>
      <c r="S1148" s="385" t="str">
        <f t="shared" ref="S1148:S1211" si="275">IF(R1148="x","x",IF(R1148="y","x",IF(R1148="xy","x",IF(P1148&gt;0,"x",""))))</f>
        <v/>
      </c>
    </row>
    <row r="1149" spans="2:19" ht="26.25" hidden="1" thickBot="1">
      <c r="B1149" s="609">
        <v>95758</v>
      </c>
      <c r="C1149" s="610" t="s">
        <v>843</v>
      </c>
      <c r="D1149" s="611" t="s">
        <v>1285</v>
      </c>
      <c r="E1149" s="602"/>
      <c r="F1149" s="603"/>
      <c r="G1149" s="604"/>
      <c r="H1149" s="605"/>
      <c r="I1149" s="675">
        <v>10.57</v>
      </c>
      <c r="J1149" s="675">
        <f t="shared" si="274"/>
        <v>10.57</v>
      </c>
      <c r="K1149" s="606">
        <f t="shared" si="263"/>
        <v>12.83</v>
      </c>
      <c r="L1149" s="389" t="s">
        <v>21</v>
      </c>
      <c r="M1149" s="30"/>
      <c r="N1149" s="30"/>
      <c r="O1149" s="287">
        <f t="shared" si="264"/>
        <v>0</v>
      </c>
      <c r="P1149" s="287">
        <f t="shared" si="265"/>
        <v>0</v>
      </c>
      <c r="Q1149" s="288"/>
      <c r="R1149" s="243"/>
      <c r="S1149" s="385" t="str">
        <f t="shared" si="275"/>
        <v/>
      </c>
    </row>
    <row r="1150" spans="2:19" ht="26.25" hidden="1" thickBot="1">
      <c r="B1150" s="609">
        <v>95759</v>
      </c>
      <c r="C1150" s="610" t="s">
        <v>843</v>
      </c>
      <c r="D1150" s="611" t="s">
        <v>1286</v>
      </c>
      <c r="E1150" s="602"/>
      <c r="F1150" s="603"/>
      <c r="G1150" s="604"/>
      <c r="H1150" s="605"/>
      <c r="I1150" s="675">
        <v>12.97</v>
      </c>
      <c r="J1150" s="675">
        <f t="shared" si="274"/>
        <v>12.97</v>
      </c>
      <c r="K1150" s="606">
        <f t="shared" si="263"/>
        <v>15.74</v>
      </c>
      <c r="L1150" s="389" t="s">
        <v>21</v>
      </c>
      <c r="M1150" s="30"/>
      <c r="N1150" s="30"/>
      <c r="O1150" s="287">
        <f t="shared" si="264"/>
        <v>0</v>
      </c>
      <c r="P1150" s="287">
        <f t="shared" si="265"/>
        <v>0</v>
      </c>
      <c r="Q1150" s="288"/>
      <c r="R1150" s="243"/>
      <c r="S1150" s="385" t="str">
        <f t="shared" si="275"/>
        <v/>
      </c>
    </row>
    <row r="1151" spans="2:19" ht="26.25" hidden="1" thickBot="1">
      <c r="B1151" s="609">
        <v>95760</v>
      </c>
      <c r="C1151" s="610" t="s">
        <v>843</v>
      </c>
      <c r="D1151" s="611" t="s">
        <v>1287</v>
      </c>
      <c r="E1151" s="602"/>
      <c r="F1151" s="603"/>
      <c r="G1151" s="604"/>
      <c r="H1151" s="605"/>
      <c r="I1151" s="675">
        <v>15.58</v>
      </c>
      <c r="J1151" s="675">
        <f t="shared" si="274"/>
        <v>15.58</v>
      </c>
      <c r="K1151" s="606">
        <f t="shared" si="263"/>
        <v>18.91</v>
      </c>
      <c r="L1151" s="389" t="s">
        <v>21</v>
      </c>
      <c r="M1151" s="30"/>
      <c r="N1151" s="30"/>
      <c r="O1151" s="287">
        <f t="shared" si="264"/>
        <v>0</v>
      </c>
      <c r="P1151" s="287">
        <f t="shared" si="265"/>
        <v>0</v>
      </c>
      <c r="Q1151" s="288"/>
      <c r="R1151" s="243"/>
      <c r="S1151" s="385" t="str">
        <f t="shared" si="275"/>
        <v/>
      </c>
    </row>
    <row r="1152" spans="2:19" ht="26.25" hidden="1" thickBot="1">
      <c r="B1152" s="609">
        <v>91839</v>
      </c>
      <c r="C1152" s="610" t="s">
        <v>843</v>
      </c>
      <c r="D1152" s="611" t="s">
        <v>1288</v>
      </c>
      <c r="E1152" s="602"/>
      <c r="F1152" s="603"/>
      <c r="G1152" s="604"/>
      <c r="H1152" s="605"/>
      <c r="I1152" s="675">
        <v>9.6300000000000008</v>
      </c>
      <c r="J1152" s="675">
        <f t="shared" si="274"/>
        <v>9.6300000000000008</v>
      </c>
      <c r="K1152" s="606">
        <f t="shared" si="263"/>
        <v>11.69</v>
      </c>
      <c r="L1152" s="389" t="s">
        <v>19</v>
      </c>
      <c r="M1152" s="30"/>
      <c r="N1152" s="30"/>
      <c r="O1152" s="287">
        <f t="shared" si="264"/>
        <v>0</v>
      </c>
      <c r="P1152" s="287">
        <f t="shared" si="265"/>
        <v>0</v>
      </c>
      <c r="Q1152" s="288"/>
      <c r="R1152" s="243"/>
      <c r="S1152" s="385" t="str">
        <f t="shared" si="275"/>
        <v/>
      </c>
    </row>
    <row r="1153" spans="2:19" ht="26.25" hidden="1" thickBot="1">
      <c r="B1153" s="609">
        <v>91840</v>
      </c>
      <c r="C1153" s="610" t="s">
        <v>843</v>
      </c>
      <c r="D1153" s="611" t="s">
        <v>1289</v>
      </c>
      <c r="E1153" s="602"/>
      <c r="F1153" s="603"/>
      <c r="G1153" s="604"/>
      <c r="H1153" s="605"/>
      <c r="I1153" s="675">
        <v>12.18</v>
      </c>
      <c r="J1153" s="675">
        <f t="shared" si="274"/>
        <v>12.18</v>
      </c>
      <c r="K1153" s="606">
        <f t="shared" si="263"/>
        <v>14.78</v>
      </c>
      <c r="L1153" s="389" t="s">
        <v>19</v>
      </c>
      <c r="M1153" s="30"/>
      <c r="N1153" s="30"/>
      <c r="O1153" s="287">
        <f t="shared" si="264"/>
        <v>0</v>
      </c>
      <c r="P1153" s="287">
        <f t="shared" si="265"/>
        <v>0</v>
      </c>
      <c r="Q1153" s="288"/>
      <c r="R1153" s="243"/>
      <c r="S1153" s="385" t="str">
        <f t="shared" si="275"/>
        <v/>
      </c>
    </row>
    <row r="1154" spans="2:19" ht="26.25" hidden="1" thickBot="1">
      <c r="B1154" s="609">
        <v>91841</v>
      </c>
      <c r="C1154" s="610" t="s">
        <v>843</v>
      </c>
      <c r="D1154" s="611" t="s">
        <v>1290</v>
      </c>
      <c r="E1154" s="602"/>
      <c r="F1154" s="603"/>
      <c r="G1154" s="604"/>
      <c r="H1154" s="605"/>
      <c r="I1154" s="675">
        <v>11.5</v>
      </c>
      <c r="J1154" s="675">
        <f t="shared" si="274"/>
        <v>11.5</v>
      </c>
      <c r="K1154" s="606">
        <f t="shared" si="263"/>
        <v>13.96</v>
      </c>
      <c r="L1154" s="389" t="s">
        <v>19</v>
      </c>
      <c r="M1154" s="30"/>
      <c r="N1154" s="30"/>
      <c r="O1154" s="287">
        <f t="shared" si="264"/>
        <v>0</v>
      </c>
      <c r="P1154" s="287">
        <f t="shared" si="265"/>
        <v>0</v>
      </c>
      <c r="Q1154" s="288"/>
      <c r="R1154" s="243"/>
      <c r="S1154" s="385" t="str">
        <f t="shared" si="275"/>
        <v/>
      </c>
    </row>
    <row r="1155" spans="2:19" ht="26.25" hidden="1" thickBot="1">
      <c r="B1155" s="609">
        <v>91849</v>
      </c>
      <c r="C1155" s="610" t="s">
        <v>843</v>
      </c>
      <c r="D1155" s="611" t="s">
        <v>1291</v>
      </c>
      <c r="E1155" s="602"/>
      <c r="F1155" s="603"/>
      <c r="G1155" s="604"/>
      <c r="H1155" s="605"/>
      <c r="I1155" s="675">
        <v>7.76</v>
      </c>
      <c r="J1155" s="675">
        <f t="shared" si="274"/>
        <v>7.76</v>
      </c>
      <c r="K1155" s="606">
        <f t="shared" si="263"/>
        <v>9.42</v>
      </c>
      <c r="L1155" s="389" t="s">
        <v>19</v>
      </c>
      <c r="M1155" s="30"/>
      <c r="N1155" s="30"/>
      <c r="O1155" s="287">
        <f t="shared" si="264"/>
        <v>0</v>
      </c>
      <c r="P1155" s="287">
        <f t="shared" si="265"/>
        <v>0</v>
      </c>
      <c r="Q1155" s="288"/>
      <c r="R1155" s="243"/>
      <c r="S1155" s="385" t="str">
        <f t="shared" si="275"/>
        <v/>
      </c>
    </row>
    <row r="1156" spans="2:19" ht="26.25" hidden="1" thickBot="1">
      <c r="B1156" s="609">
        <v>91850</v>
      </c>
      <c r="C1156" s="610" t="s">
        <v>843</v>
      </c>
      <c r="D1156" s="611" t="s">
        <v>1292</v>
      </c>
      <c r="E1156" s="602"/>
      <c r="F1156" s="603"/>
      <c r="G1156" s="604"/>
      <c r="H1156" s="605"/>
      <c r="I1156" s="675">
        <v>10.36</v>
      </c>
      <c r="J1156" s="675">
        <f t="shared" si="274"/>
        <v>10.36</v>
      </c>
      <c r="K1156" s="606">
        <f t="shared" si="263"/>
        <v>12.57</v>
      </c>
      <c r="L1156" s="389" t="s">
        <v>19</v>
      </c>
      <c r="M1156" s="30"/>
      <c r="N1156" s="30"/>
      <c r="O1156" s="287">
        <f t="shared" si="264"/>
        <v>0</v>
      </c>
      <c r="P1156" s="287">
        <f t="shared" si="265"/>
        <v>0</v>
      </c>
      <c r="Q1156" s="288"/>
      <c r="R1156" s="243"/>
      <c r="S1156" s="385" t="str">
        <f t="shared" si="275"/>
        <v/>
      </c>
    </row>
    <row r="1157" spans="2:19" ht="26.25" hidden="1" thickBot="1">
      <c r="B1157" s="609">
        <v>91851</v>
      </c>
      <c r="C1157" s="610" t="s">
        <v>843</v>
      </c>
      <c r="D1157" s="611" t="s">
        <v>1293</v>
      </c>
      <c r="E1157" s="602"/>
      <c r="F1157" s="603"/>
      <c r="G1157" s="604"/>
      <c r="H1157" s="605"/>
      <c r="I1157" s="675">
        <v>9.68</v>
      </c>
      <c r="J1157" s="675">
        <f t="shared" si="274"/>
        <v>9.68</v>
      </c>
      <c r="K1157" s="606">
        <f t="shared" si="263"/>
        <v>11.75</v>
      </c>
      <c r="L1157" s="389" t="s">
        <v>19</v>
      </c>
      <c r="M1157" s="30"/>
      <c r="N1157" s="30"/>
      <c r="O1157" s="287">
        <f t="shared" si="264"/>
        <v>0</v>
      </c>
      <c r="P1157" s="287">
        <f t="shared" si="265"/>
        <v>0</v>
      </c>
      <c r="Q1157" s="288"/>
      <c r="R1157" s="243"/>
      <c r="S1157" s="385" t="str">
        <f t="shared" si="275"/>
        <v/>
      </c>
    </row>
    <row r="1158" spans="2:19" ht="26.25" hidden="1" thickBot="1">
      <c r="B1158" s="609">
        <v>91859</v>
      </c>
      <c r="C1158" s="610" t="s">
        <v>843</v>
      </c>
      <c r="D1158" s="611" t="s">
        <v>1294</v>
      </c>
      <c r="E1158" s="602"/>
      <c r="F1158" s="603"/>
      <c r="G1158" s="604"/>
      <c r="H1158" s="605"/>
      <c r="I1158" s="675">
        <v>10.07</v>
      </c>
      <c r="J1158" s="675">
        <f t="shared" si="274"/>
        <v>10.07</v>
      </c>
      <c r="K1158" s="606">
        <f t="shared" si="263"/>
        <v>12.22</v>
      </c>
      <c r="L1158" s="389" t="s">
        <v>19</v>
      </c>
      <c r="M1158" s="30"/>
      <c r="N1158" s="30"/>
      <c r="O1158" s="287">
        <f t="shared" si="264"/>
        <v>0</v>
      </c>
      <c r="P1158" s="287">
        <f t="shared" si="265"/>
        <v>0</v>
      </c>
      <c r="Q1158" s="288"/>
      <c r="R1158" s="243"/>
      <c r="S1158" s="385" t="str">
        <f t="shared" si="275"/>
        <v/>
      </c>
    </row>
    <row r="1159" spans="2:19" ht="26.25" hidden="1" thickBot="1">
      <c r="B1159" s="609">
        <v>91860</v>
      </c>
      <c r="C1159" s="610" t="s">
        <v>843</v>
      </c>
      <c r="D1159" s="611" t="s">
        <v>1295</v>
      </c>
      <c r="E1159" s="602"/>
      <c r="F1159" s="603"/>
      <c r="G1159" s="604"/>
      <c r="H1159" s="605"/>
      <c r="I1159" s="675">
        <v>12.54</v>
      </c>
      <c r="J1159" s="675">
        <f t="shared" si="274"/>
        <v>12.54</v>
      </c>
      <c r="K1159" s="606">
        <f t="shared" si="263"/>
        <v>15.22</v>
      </c>
      <c r="L1159" s="389" t="s">
        <v>19</v>
      </c>
      <c r="M1159" s="30"/>
      <c r="N1159" s="30"/>
      <c r="O1159" s="287">
        <f t="shared" si="264"/>
        <v>0</v>
      </c>
      <c r="P1159" s="287">
        <f t="shared" si="265"/>
        <v>0</v>
      </c>
      <c r="Q1159" s="288"/>
      <c r="R1159" s="243"/>
      <c r="S1159" s="385" t="str">
        <f t="shared" si="275"/>
        <v/>
      </c>
    </row>
    <row r="1160" spans="2:19" ht="26.25" hidden="1" thickBot="1">
      <c r="B1160" s="609">
        <v>91861</v>
      </c>
      <c r="C1160" s="610" t="s">
        <v>843</v>
      </c>
      <c r="D1160" s="611" t="s">
        <v>1296</v>
      </c>
      <c r="E1160" s="602"/>
      <c r="F1160" s="603"/>
      <c r="G1160" s="604"/>
      <c r="H1160" s="605"/>
      <c r="I1160" s="675">
        <v>11.91</v>
      </c>
      <c r="J1160" s="675">
        <f t="shared" si="274"/>
        <v>11.91</v>
      </c>
      <c r="K1160" s="606">
        <f t="shared" si="263"/>
        <v>14.45</v>
      </c>
      <c r="L1160" s="389" t="s">
        <v>19</v>
      </c>
      <c r="M1160" s="30"/>
      <c r="N1160" s="30"/>
      <c r="O1160" s="287">
        <f t="shared" si="264"/>
        <v>0</v>
      </c>
      <c r="P1160" s="287">
        <f t="shared" si="265"/>
        <v>0</v>
      </c>
      <c r="Q1160" s="288"/>
      <c r="R1160" s="243"/>
      <c r="S1160" s="385" t="str">
        <f t="shared" si="275"/>
        <v/>
      </c>
    </row>
    <row r="1161" spans="2:19" ht="13.5" hidden="1" thickBot="1">
      <c r="B1161" s="609">
        <v>97667</v>
      </c>
      <c r="C1161" s="610" t="s">
        <v>843</v>
      </c>
      <c r="D1161" s="611" t="s">
        <v>1297</v>
      </c>
      <c r="E1161" s="602"/>
      <c r="F1161" s="603"/>
      <c r="G1161" s="604"/>
      <c r="H1161" s="605"/>
      <c r="I1161" s="675">
        <v>7.86</v>
      </c>
      <c r="J1161" s="675">
        <f t="shared" si="274"/>
        <v>7.86</v>
      </c>
      <c r="K1161" s="606">
        <f t="shared" si="263"/>
        <v>9.5399999999999991</v>
      </c>
      <c r="L1161" s="389" t="s">
        <v>19</v>
      </c>
      <c r="M1161" s="30"/>
      <c r="N1161" s="30"/>
      <c r="O1161" s="287">
        <f t="shared" si="264"/>
        <v>0</v>
      </c>
      <c r="P1161" s="287">
        <f t="shared" si="265"/>
        <v>0</v>
      </c>
      <c r="Q1161" s="288"/>
      <c r="R1161" s="243"/>
      <c r="S1161" s="385" t="str">
        <f t="shared" si="275"/>
        <v/>
      </c>
    </row>
    <row r="1162" spans="2:19" ht="13.5" hidden="1" thickBot="1">
      <c r="B1162" s="609">
        <v>97668</v>
      </c>
      <c r="C1162" s="610" t="s">
        <v>843</v>
      </c>
      <c r="D1162" s="611" t="s">
        <v>1298</v>
      </c>
      <c r="E1162" s="602"/>
      <c r="F1162" s="603"/>
      <c r="G1162" s="604"/>
      <c r="H1162" s="605"/>
      <c r="I1162" s="675">
        <v>12.01</v>
      </c>
      <c r="J1162" s="675">
        <f t="shared" si="274"/>
        <v>12.01</v>
      </c>
      <c r="K1162" s="606">
        <f t="shared" si="263"/>
        <v>14.57</v>
      </c>
      <c r="L1162" s="389" t="s">
        <v>19</v>
      </c>
      <c r="M1162" s="30"/>
      <c r="N1162" s="30"/>
      <c r="O1162" s="287">
        <f t="shared" si="264"/>
        <v>0</v>
      </c>
      <c r="P1162" s="287">
        <f t="shared" si="265"/>
        <v>0</v>
      </c>
      <c r="Q1162" s="288"/>
      <c r="R1162" s="243"/>
      <c r="S1162" s="385" t="str">
        <f t="shared" si="275"/>
        <v/>
      </c>
    </row>
    <row r="1163" spans="2:19" ht="13.5" hidden="1" thickBot="1">
      <c r="B1163" s="609">
        <v>97669</v>
      </c>
      <c r="C1163" s="610" t="s">
        <v>843</v>
      </c>
      <c r="D1163" s="611" t="s">
        <v>1299</v>
      </c>
      <c r="E1163" s="602"/>
      <c r="F1163" s="603"/>
      <c r="G1163" s="604"/>
      <c r="H1163" s="605"/>
      <c r="I1163" s="675">
        <v>19.04</v>
      </c>
      <c r="J1163" s="675">
        <f t="shared" si="274"/>
        <v>19.04</v>
      </c>
      <c r="K1163" s="606">
        <f t="shared" si="263"/>
        <v>23.11</v>
      </c>
      <c r="L1163" s="389" t="s">
        <v>19</v>
      </c>
      <c r="M1163" s="30"/>
      <c r="N1163" s="30"/>
      <c r="O1163" s="287">
        <f t="shared" si="264"/>
        <v>0</v>
      </c>
      <c r="P1163" s="287">
        <f t="shared" si="265"/>
        <v>0</v>
      </c>
      <c r="Q1163" s="288"/>
      <c r="R1163" s="243"/>
      <c r="S1163" s="385" t="str">
        <f t="shared" si="275"/>
        <v/>
      </c>
    </row>
    <row r="1164" spans="2:19" ht="13.5" hidden="1" thickBot="1">
      <c r="B1164" s="609">
        <v>97670</v>
      </c>
      <c r="C1164" s="610" t="s">
        <v>843</v>
      </c>
      <c r="D1164" s="611" t="s">
        <v>1300</v>
      </c>
      <c r="E1164" s="602"/>
      <c r="F1164" s="603"/>
      <c r="G1164" s="604"/>
      <c r="H1164" s="605"/>
      <c r="I1164" s="675">
        <v>24.59</v>
      </c>
      <c r="J1164" s="675">
        <f t="shared" si="274"/>
        <v>24.59</v>
      </c>
      <c r="K1164" s="606">
        <f t="shared" si="263"/>
        <v>29.84</v>
      </c>
      <c r="L1164" s="389" t="s">
        <v>19</v>
      </c>
      <c r="M1164" s="30"/>
      <c r="N1164" s="30"/>
      <c r="O1164" s="287">
        <f t="shared" si="264"/>
        <v>0</v>
      </c>
      <c r="P1164" s="287">
        <f t="shared" si="265"/>
        <v>0</v>
      </c>
      <c r="Q1164" s="288"/>
      <c r="R1164" s="243"/>
      <c r="S1164" s="385" t="str">
        <f t="shared" si="275"/>
        <v/>
      </c>
    </row>
    <row r="1165" spans="2:19" ht="26.25" hidden="1" thickBot="1">
      <c r="B1165" s="609">
        <v>91924</v>
      </c>
      <c r="C1165" s="610" t="s">
        <v>843</v>
      </c>
      <c r="D1165" s="611" t="s">
        <v>1301</v>
      </c>
      <c r="E1165" s="602"/>
      <c r="F1165" s="603"/>
      <c r="G1165" s="604"/>
      <c r="H1165" s="605"/>
      <c r="I1165" s="675">
        <v>2.44</v>
      </c>
      <c r="J1165" s="675">
        <f t="shared" si="274"/>
        <v>2.44</v>
      </c>
      <c r="K1165" s="606">
        <f t="shared" si="263"/>
        <v>2.96</v>
      </c>
      <c r="L1165" s="389" t="s">
        <v>19</v>
      </c>
      <c r="M1165" s="30"/>
      <c r="N1165" s="30"/>
      <c r="O1165" s="287">
        <f t="shared" si="264"/>
        <v>0</v>
      </c>
      <c r="P1165" s="287">
        <f t="shared" si="265"/>
        <v>0</v>
      </c>
      <c r="Q1165" s="288"/>
      <c r="R1165" s="243"/>
      <c r="S1165" s="385" t="str">
        <f t="shared" si="275"/>
        <v/>
      </c>
    </row>
    <row r="1166" spans="2:19" ht="26.25" hidden="1" thickBot="1">
      <c r="B1166" s="609">
        <v>91926</v>
      </c>
      <c r="C1166" s="610" t="s">
        <v>843</v>
      </c>
      <c r="D1166" s="611" t="s">
        <v>1302</v>
      </c>
      <c r="E1166" s="602"/>
      <c r="F1166" s="603"/>
      <c r="G1166" s="604"/>
      <c r="H1166" s="605"/>
      <c r="I1166" s="675">
        <v>3.52</v>
      </c>
      <c r="J1166" s="675">
        <f t="shared" si="274"/>
        <v>3.52</v>
      </c>
      <c r="K1166" s="606">
        <f t="shared" si="263"/>
        <v>4.2699999999999996</v>
      </c>
      <c r="L1166" s="389" t="s">
        <v>19</v>
      </c>
      <c r="M1166" s="30"/>
      <c r="N1166" s="30"/>
      <c r="O1166" s="287">
        <f t="shared" si="264"/>
        <v>0</v>
      </c>
      <c r="P1166" s="287">
        <f t="shared" si="265"/>
        <v>0</v>
      </c>
      <c r="Q1166" s="288"/>
      <c r="R1166" s="243"/>
      <c r="S1166" s="385" t="str">
        <f t="shared" si="275"/>
        <v/>
      </c>
    </row>
    <row r="1167" spans="2:19" ht="26.25" hidden="1" thickBot="1">
      <c r="B1167" s="609">
        <v>91928</v>
      </c>
      <c r="C1167" s="610" t="s">
        <v>843</v>
      </c>
      <c r="D1167" s="611" t="s">
        <v>1303</v>
      </c>
      <c r="E1167" s="602"/>
      <c r="F1167" s="603"/>
      <c r="G1167" s="604"/>
      <c r="H1167" s="605"/>
      <c r="I1167" s="675">
        <v>5.66</v>
      </c>
      <c r="J1167" s="675">
        <f t="shared" si="274"/>
        <v>5.66</v>
      </c>
      <c r="K1167" s="606">
        <f t="shared" si="263"/>
        <v>6.87</v>
      </c>
      <c r="L1167" s="389" t="s">
        <v>19</v>
      </c>
      <c r="M1167" s="30"/>
      <c r="N1167" s="30"/>
      <c r="O1167" s="287">
        <f t="shared" si="264"/>
        <v>0</v>
      </c>
      <c r="P1167" s="287">
        <f t="shared" si="265"/>
        <v>0</v>
      </c>
      <c r="Q1167" s="288"/>
      <c r="R1167" s="243"/>
      <c r="S1167" s="385" t="str">
        <f t="shared" si="275"/>
        <v/>
      </c>
    </row>
    <row r="1168" spans="2:19" ht="26.25" hidden="1" thickBot="1">
      <c r="B1168" s="609">
        <v>91930</v>
      </c>
      <c r="C1168" s="610" t="s">
        <v>843</v>
      </c>
      <c r="D1168" s="611" t="s">
        <v>1304</v>
      </c>
      <c r="E1168" s="602"/>
      <c r="F1168" s="603"/>
      <c r="G1168" s="604"/>
      <c r="H1168" s="605"/>
      <c r="I1168" s="675">
        <v>7.73</v>
      </c>
      <c r="J1168" s="675">
        <f t="shared" si="274"/>
        <v>7.73</v>
      </c>
      <c r="K1168" s="606">
        <f t="shared" si="263"/>
        <v>9.3800000000000008</v>
      </c>
      <c r="L1168" s="389" t="s">
        <v>19</v>
      </c>
      <c r="M1168" s="30"/>
      <c r="N1168" s="30"/>
      <c r="O1168" s="287">
        <f t="shared" si="264"/>
        <v>0</v>
      </c>
      <c r="P1168" s="287">
        <f t="shared" si="265"/>
        <v>0</v>
      </c>
      <c r="Q1168" s="288"/>
      <c r="R1168" s="243"/>
      <c r="S1168" s="385" t="str">
        <f t="shared" si="275"/>
        <v/>
      </c>
    </row>
    <row r="1169" spans="2:19" ht="26.25" hidden="1" thickBot="1">
      <c r="B1169" s="609">
        <v>91932</v>
      </c>
      <c r="C1169" s="610" t="s">
        <v>843</v>
      </c>
      <c r="D1169" s="611" t="s">
        <v>1305</v>
      </c>
      <c r="E1169" s="602"/>
      <c r="F1169" s="603"/>
      <c r="G1169" s="604"/>
      <c r="H1169" s="605"/>
      <c r="I1169" s="675">
        <v>12.67</v>
      </c>
      <c r="J1169" s="675">
        <f t="shared" si="274"/>
        <v>12.67</v>
      </c>
      <c r="K1169" s="606">
        <f t="shared" ref="K1169:K1232" si="276">IF(ISBLANK(I1169),0,ROUND(J1169*(1+$F$10)*(1+$F$11*E1169),2))</f>
        <v>15.38</v>
      </c>
      <c r="L1169" s="389" t="s">
        <v>19</v>
      </c>
      <c r="M1169" s="30"/>
      <c r="N1169" s="30"/>
      <c r="O1169" s="287">
        <f t="shared" ref="O1169:O1232" si="277">IF(ISBLANK(M1169),0,ROUND(K1169*M1169,2))</f>
        <v>0</v>
      </c>
      <c r="P1169" s="287">
        <f t="shared" ref="P1169:P1232" si="278">IF(ISBLANK(N1169),0,ROUND(M1169*N1169,2))</f>
        <v>0</v>
      </c>
      <c r="Q1169" s="288"/>
      <c r="R1169" s="243"/>
      <c r="S1169" s="385" t="str">
        <f t="shared" si="275"/>
        <v/>
      </c>
    </row>
    <row r="1170" spans="2:19" ht="26.25" hidden="1" thickBot="1">
      <c r="B1170" s="609">
        <v>91934</v>
      </c>
      <c r="C1170" s="610" t="s">
        <v>843</v>
      </c>
      <c r="D1170" s="611" t="s">
        <v>1306</v>
      </c>
      <c r="E1170" s="602"/>
      <c r="F1170" s="603"/>
      <c r="G1170" s="604"/>
      <c r="H1170" s="605"/>
      <c r="I1170" s="675">
        <v>19.37</v>
      </c>
      <c r="J1170" s="675">
        <f t="shared" si="274"/>
        <v>19.37</v>
      </c>
      <c r="K1170" s="606">
        <f t="shared" si="276"/>
        <v>23.51</v>
      </c>
      <c r="L1170" s="389" t="s">
        <v>19</v>
      </c>
      <c r="M1170" s="30"/>
      <c r="N1170" s="30"/>
      <c r="O1170" s="287">
        <f t="shared" si="277"/>
        <v>0</v>
      </c>
      <c r="P1170" s="287">
        <f t="shared" si="278"/>
        <v>0</v>
      </c>
      <c r="Q1170" s="288"/>
      <c r="R1170" s="243"/>
      <c r="S1170" s="385" t="str">
        <f t="shared" si="275"/>
        <v/>
      </c>
    </row>
    <row r="1171" spans="2:19" ht="26.25" hidden="1" thickBot="1">
      <c r="B1171" s="609">
        <v>92979</v>
      </c>
      <c r="C1171" s="610" t="s">
        <v>843</v>
      </c>
      <c r="D1171" s="611" t="s">
        <v>1307</v>
      </c>
      <c r="E1171" s="602"/>
      <c r="F1171" s="603"/>
      <c r="G1171" s="604"/>
      <c r="H1171" s="605"/>
      <c r="I1171" s="675">
        <v>8.35</v>
      </c>
      <c r="J1171" s="675">
        <f t="shared" si="274"/>
        <v>8.35</v>
      </c>
      <c r="K1171" s="606">
        <f t="shared" si="276"/>
        <v>10.130000000000001</v>
      </c>
      <c r="L1171" s="389" t="s">
        <v>19</v>
      </c>
      <c r="M1171" s="30"/>
      <c r="N1171" s="30"/>
      <c r="O1171" s="287">
        <f t="shared" si="277"/>
        <v>0</v>
      </c>
      <c r="P1171" s="287">
        <f t="shared" si="278"/>
        <v>0</v>
      </c>
      <c r="Q1171" s="288"/>
      <c r="R1171" s="243"/>
      <c r="S1171" s="385" t="str">
        <f t="shared" si="275"/>
        <v/>
      </c>
    </row>
    <row r="1172" spans="2:19" ht="26.25" hidden="1" thickBot="1">
      <c r="B1172" s="609">
        <v>92981</v>
      </c>
      <c r="C1172" s="610" t="s">
        <v>843</v>
      </c>
      <c r="D1172" s="611" t="s">
        <v>1308</v>
      </c>
      <c r="E1172" s="602"/>
      <c r="F1172" s="603"/>
      <c r="G1172" s="604"/>
      <c r="H1172" s="605"/>
      <c r="I1172" s="675">
        <v>12.84</v>
      </c>
      <c r="J1172" s="675">
        <f t="shared" si="274"/>
        <v>12.84</v>
      </c>
      <c r="K1172" s="606">
        <f t="shared" si="276"/>
        <v>15.58</v>
      </c>
      <c r="L1172" s="389" t="s">
        <v>19</v>
      </c>
      <c r="M1172" s="30"/>
      <c r="N1172" s="30"/>
      <c r="O1172" s="287">
        <f t="shared" si="277"/>
        <v>0</v>
      </c>
      <c r="P1172" s="287">
        <f t="shared" si="278"/>
        <v>0</v>
      </c>
      <c r="Q1172" s="288"/>
      <c r="R1172" s="243"/>
      <c r="S1172" s="385" t="str">
        <f t="shared" si="275"/>
        <v/>
      </c>
    </row>
    <row r="1173" spans="2:19" ht="26.25" hidden="1" thickBot="1">
      <c r="B1173" s="609">
        <v>92983</v>
      </c>
      <c r="C1173" s="610" t="s">
        <v>843</v>
      </c>
      <c r="D1173" s="611" t="s">
        <v>1309</v>
      </c>
      <c r="E1173" s="602"/>
      <c r="F1173" s="603"/>
      <c r="G1173" s="604"/>
      <c r="H1173" s="605"/>
      <c r="I1173" s="675">
        <v>22.29</v>
      </c>
      <c r="J1173" s="675">
        <f t="shared" si="274"/>
        <v>22.29</v>
      </c>
      <c r="K1173" s="606">
        <f t="shared" si="276"/>
        <v>27.05</v>
      </c>
      <c r="L1173" s="389" t="s">
        <v>19</v>
      </c>
      <c r="M1173" s="30"/>
      <c r="N1173" s="30"/>
      <c r="O1173" s="287">
        <f t="shared" si="277"/>
        <v>0</v>
      </c>
      <c r="P1173" s="287">
        <f t="shared" si="278"/>
        <v>0</v>
      </c>
      <c r="Q1173" s="288"/>
      <c r="R1173" s="243"/>
      <c r="S1173" s="385" t="str">
        <f t="shared" si="275"/>
        <v/>
      </c>
    </row>
    <row r="1174" spans="2:19" ht="26.25" hidden="1" thickBot="1">
      <c r="B1174" s="609">
        <v>92985</v>
      </c>
      <c r="C1174" s="610" t="s">
        <v>843</v>
      </c>
      <c r="D1174" s="611" t="s">
        <v>1310</v>
      </c>
      <c r="E1174" s="602"/>
      <c r="F1174" s="603"/>
      <c r="G1174" s="604"/>
      <c r="H1174" s="605"/>
      <c r="I1174" s="675">
        <v>29.96</v>
      </c>
      <c r="J1174" s="675">
        <f t="shared" si="274"/>
        <v>29.96</v>
      </c>
      <c r="K1174" s="606">
        <f t="shared" si="276"/>
        <v>36.36</v>
      </c>
      <c r="L1174" s="389" t="s">
        <v>19</v>
      </c>
      <c r="M1174" s="30"/>
      <c r="N1174" s="30"/>
      <c r="O1174" s="287">
        <f t="shared" si="277"/>
        <v>0</v>
      </c>
      <c r="P1174" s="287">
        <f t="shared" si="278"/>
        <v>0</v>
      </c>
      <c r="Q1174" s="288"/>
      <c r="R1174" s="243"/>
      <c r="S1174" s="385" t="str">
        <f t="shared" si="275"/>
        <v/>
      </c>
    </row>
    <row r="1175" spans="2:19" ht="26.25" hidden="1" thickBot="1">
      <c r="B1175" s="609">
        <v>92987</v>
      </c>
      <c r="C1175" s="610" t="s">
        <v>843</v>
      </c>
      <c r="D1175" s="611" t="s">
        <v>1311</v>
      </c>
      <c r="E1175" s="602"/>
      <c r="F1175" s="603"/>
      <c r="G1175" s="604"/>
      <c r="H1175" s="605"/>
      <c r="I1175" s="675">
        <v>43.06</v>
      </c>
      <c r="J1175" s="675">
        <f t="shared" si="274"/>
        <v>43.06</v>
      </c>
      <c r="K1175" s="606">
        <f t="shared" si="276"/>
        <v>52.25</v>
      </c>
      <c r="L1175" s="389" t="s">
        <v>19</v>
      </c>
      <c r="M1175" s="30"/>
      <c r="N1175" s="30"/>
      <c r="O1175" s="287">
        <f t="shared" si="277"/>
        <v>0</v>
      </c>
      <c r="P1175" s="287">
        <f t="shared" si="278"/>
        <v>0</v>
      </c>
      <c r="Q1175" s="288"/>
      <c r="R1175" s="243"/>
      <c r="S1175" s="385" t="str">
        <f t="shared" si="275"/>
        <v/>
      </c>
    </row>
    <row r="1176" spans="2:19" ht="26.25" hidden="1" thickBot="1">
      <c r="B1176" s="609">
        <v>92989</v>
      </c>
      <c r="C1176" s="610" t="s">
        <v>843</v>
      </c>
      <c r="D1176" s="611" t="s">
        <v>1312</v>
      </c>
      <c r="E1176" s="602"/>
      <c r="F1176" s="603"/>
      <c r="G1176" s="604"/>
      <c r="H1176" s="605"/>
      <c r="I1176" s="675">
        <v>59.77</v>
      </c>
      <c r="J1176" s="675">
        <f t="shared" si="274"/>
        <v>59.77</v>
      </c>
      <c r="K1176" s="606">
        <f t="shared" si="276"/>
        <v>72.53</v>
      </c>
      <c r="L1176" s="389" t="s">
        <v>19</v>
      </c>
      <c r="M1176" s="30"/>
      <c r="N1176" s="30"/>
      <c r="O1176" s="287">
        <f t="shared" si="277"/>
        <v>0</v>
      </c>
      <c r="P1176" s="287">
        <f t="shared" si="278"/>
        <v>0</v>
      </c>
      <c r="Q1176" s="288"/>
      <c r="R1176" s="243"/>
      <c r="S1176" s="385" t="str">
        <f t="shared" si="275"/>
        <v/>
      </c>
    </row>
    <row r="1177" spans="2:19" ht="26.25" hidden="1" thickBot="1">
      <c r="B1177" s="609">
        <v>92991</v>
      </c>
      <c r="C1177" s="610" t="s">
        <v>843</v>
      </c>
      <c r="D1177" s="611" t="s">
        <v>1313</v>
      </c>
      <c r="E1177" s="602"/>
      <c r="F1177" s="603"/>
      <c r="G1177" s="604"/>
      <c r="H1177" s="605"/>
      <c r="I1177" s="675">
        <v>77.92</v>
      </c>
      <c r="J1177" s="675">
        <f t="shared" si="274"/>
        <v>77.92</v>
      </c>
      <c r="K1177" s="606">
        <f t="shared" si="276"/>
        <v>94.56</v>
      </c>
      <c r="L1177" s="389" t="s">
        <v>19</v>
      </c>
      <c r="M1177" s="30"/>
      <c r="N1177" s="30"/>
      <c r="O1177" s="287">
        <f t="shared" si="277"/>
        <v>0</v>
      </c>
      <c r="P1177" s="287">
        <f t="shared" si="278"/>
        <v>0</v>
      </c>
      <c r="Q1177" s="288"/>
      <c r="R1177" s="243"/>
      <c r="S1177" s="385" t="str">
        <f t="shared" si="275"/>
        <v/>
      </c>
    </row>
    <row r="1178" spans="2:19" ht="26.25" hidden="1" thickBot="1">
      <c r="B1178" s="609">
        <v>92993</v>
      </c>
      <c r="C1178" s="610" t="s">
        <v>843</v>
      </c>
      <c r="D1178" s="611" t="s">
        <v>1314</v>
      </c>
      <c r="E1178" s="602"/>
      <c r="F1178" s="603"/>
      <c r="G1178" s="604"/>
      <c r="H1178" s="605"/>
      <c r="I1178" s="675">
        <v>99.86</v>
      </c>
      <c r="J1178" s="675">
        <f t="shared" si="274"/>
        <v>99.86</v>
      </c>
      <c r="K1178" s="606">
        <f t="shared" si="276"/>
        <v>121.18</v>
      </c>
      <c r="L1178" s="389" t="s">
        <v>19</v>
      </c>
      <c r="M1178" s="30"/>
      <c r="N1178" s="30"/>
      <c r="O1178" s="287">
        <f t="shared" si="277"/>
        <v>0</v>
      </c>
      <c r="P1178" s="287">
        <f t="shared" si="278"/>
        <v>0</v>
      </c>
      <c r="Q1178" s="288"/>
      <c r="R1178" s="243"/>
      <c r="S1178" s="385" t="str">
        <f t="shared" si="275"/>
        <v/>
      </c>
    </row>
    <row r="1179" spans="2:19" ht="26.25" hidden="1" thickBot="1">
      <c r="B1179" s="609">
        <v>92995</v>
      </c>
      <c r="C1179" s="610" t="s">
        <v>843</v>
      </c>
      <c r="D1179" s="611" t="s">
        <v>1315</v>
      </c>
      <c r="E1179" s="602"/>
      <c r="F1179" s="603"/>
      <c r="G1179" s="604"/>
      <c r="H1179" s="605"/>
      <c r="I1179" s="675">
        <v>124.19</v>
      </c>
      <c r="J1179" s="675">
        <f t="shared" si="274"/>
        <v>124.19</v>
      </c>
      <c r="K1179" s="606">
        <f t="shared" si="276"/>
        <v>150.69999999999999</v>
      </c>
      <c r="L1179" s="389" t="s">
        <v>19</v>
      </c>
      <c r="M1179" s="30"/>
      <c r="N1179" s="30"/>
      <c r="O1179" s="287">
        <f t="shared" si="277"/>
        <v>0</v>
      </c>
      <c r="P1179" s="287">
        <f t="shared" si="278"/>
        <v>0</v>
      </c>
      <c r="Q1179" s="288"/>
      <c r="R1179" s="243"/>
      <c r="S1179" s="385" t="str">
        <f t="shared" si="275"/>
        <v/>
      </c>
    </row>
    <row r="1180" spans="2:19" ht="26.25" hidden="1" thickBot="1">
      <c r="B1180" s="609">
        <v>92997</v>
      </c>
      <c r="C1180" s="610" t="s">
        <v>843</v>
      </c>
      <c r="D1180" s="611" t="s">
        <v>1316</v>
      </c>
      <c r="E1180" s="602"/>
      <c r="F1180" s="603"/>
      <c r="G1180" s="604"/>
      <c r="H1180" s="605"/>
      <c r="I1180" s="675">
        <v>150.86000000000001</v>
      </c>
      <c r="J1180" s="675">
        <f t="shared" ref="J1180:J1243" si="279">IF(ISBLANK(I1180),"",SUM(H1180:I1180))</f>
        <v>150.86000000000001</v>
      </c>
      <c r="K1180" s="606">
        <f t="shared" si="276"/>
        <v>183.07</v>
      </c>
      <c r="L1180" s="389" t="s">
        <v>19</v>
      </c>
      <c r="M1180" s="30"/>
      <c r="N1180" s="30"/>
      <c r="O1180" s="287">
        <f t="shared" si="277"/>
        <v>0</v>
      </c>
      <c r="P1180" s="287">
        <f t="shared" si="278"/>
        <v>0</v>
      </c>
      <c r="Q1180" s="288"/>
      <c r="R1180" s="243"/>
      <c r="S1180" s="385" t="str">
        <f t="shared" si="275"/>
        <v/>
      </c>
    </row>
    <row r="1181" spans="2:19" ht="26.25" hidden="1" thickBot="1">
      <c r="B1181" s="609">
        <v>92999</v>
      </c>
      <c r="C1181" s="610" t="s">
        <v>843</v>
      </c>
      <c r="D1181" s="611" t="s">
        <v>1317</v>
      </c>
      <c r="E1181" s="602"/>
      <c r="F1181" s="603"/>
      <c r="G1181" s="604"/>
      <c r="H1181" s="605"/>
      <c r="I1181" s="675">
        <v>198.62</v>
      </c>
      <c r="J1181" s="675">
        <f t="shared" si="279"/>
        <v>198.62</v>
      </c>
      <c r="K1181" s="606">
        <f t="shared" si="276"/>
        <v>241.03</v>
      </c>
      <c r="L1181" s="389" t="s">
        <v>19</v>
      </c>
      <c r="M1181" s="30"/>
      <c r="N1181" s="30"/>
      <c r="O1181" s="287">
        <f t="shared" si="277"/>
        <v>0</v>
      </c>
      <c r="P1181" s="287">
        <f t="shared" si="278"/>
        <v>0</v>
      </c>
      <c r="Q1181" s="288"/>
      <c r="R1181" s="243"/>
      <c r="S1181" s="385" t="str">
        <f t="shared" si="275"/>
        <v/>
      </c>
    </row>
    <row r="1182" spans="2:19" ht="26.25" hidden="1" thickBot="1">
      <c r="B1182" s="609">
        <v>93001</v>
      </c>
      <c r="C1182" s="610" t="s">
        <v>843</v>
      </c>
      <c r="D1182" s="611" t="s">
        <v>1318</v>
      </c>
      <c r="E1182" s="602"/>
      <c r="F1182" s="603"/>
      <c r="G1182" s="604"/>
      <c r="H1182" s="605"/>
      <c r="I1182" s="675">
        <v>242.53</v>
      </c>
      <c r="J1182" s="675">
        <f t="shared" si="279"/>
        <v>242.53</v>
      </c>
      <c r="K1182" s="606">
        <f t="shared" si="276"/>
        <v>294.31</v>
      </c>
      <c r="L1182" s="389" t="s">
        <v>19</v>
      </c>
      <c r="M1182" s="30"/>
      <c r="N1182" s="30"/>
      <c r="O1182" s="287">
        <f t="shared" si="277"/>
        <v>0</v>
      </c>
      <c r="P1182" s="287">
        <f t="shared" si="278"/>
        <v>0</v>
      </c>
      <c r="Q1182" s="288"/>
      <c r="R1182" s="243"/>
      <c r="S1182" s="385" t="str">
        <f t="shared" si="275"/>
        <v/>
      </c>
    </row>
    <row r="1183" spans="2:19" ht="26.25" hidden="1" thickBot="1">
      <c r="B1183" s="609">
        <v>91925</v>
      </c>
      <c r="C1183" s="610" t="s">
        <v>843</v>
      </c>
      <c r="D1183" s="611" t="s">
        <v>1319</v>
      </c>
      <c r="E1183" s="602"/>
      <c r="F1183" s="603"/>
      <c r="G1183" s="604"/>
      <c r="H1183" s="605"/>
      <c r="I1183" s="675">
        <v>3.39</v>
      </c>
      <c r="J1183" s="675">
        <f t="shared" si="279"/>
        <v>3.39</v>
      </c>
      <c r="K1183" s="606">
        <f t="shared" si="276"/>
        <v>4.1100000000000003</v>
      </c>
      <c r="L1183" s="389" t="s">
        <v>19</v>
      </c>
      <c r="M1183" s="30"/>
      <c r="N1183" s="30"/>
      <c r="O1183" s="287">
        <f t="shared" si="277"/>
        <v>0</v>
      </c>
      <c r="P1183" s="287">
        <f t="shared" si="278"/>
        <v>0</v>
      </c>
      <c r="Q1183" s="288"/>
      <c r="R1183" s="243"/>
      <c r="S1183" s="385" t="str">
        <f t="shared" si="275"/>
        <v/>
      </c>
    </row>
    <row r="1184" spans="2:19" ht="26.25" hidden="1" thickBot="1">
      <c r="B1184" s="609">
        <v>91927</v>
      </c>
      <c r="C1184" s="610" t="s">
        <v>843</v>
      </c>
      <c r="D1184" s="611" t="s">
        <v>1320</v>
      </c>
      <c r="E1184" s="602"/>
      <c r="F1184" s="603"/>
      <c r="G1184" s="604"/>
      <c r="H1184" s="605"/>
      <c r="I1184" s="675">
        <v>4.55</v>
      </c>
      <c r="J1184" s="675">
        <f t="shared" si="279"/>
        <v>4.55</v>
      </c>
      <c r="K1184" s="606">
        <f t="shared" si="276"/>
        <v>5.52</v>
      </c>
      <c r="L1184" s="389" t="s">
        <v>19</v>
      </c>
      <c r="M1184" s="30"/>
      <c r="N1184" s="30"/>
      <c r="O1184" s="287">
        <f t="shared" si="277"/>
        <v>0</v>
      </c>
      <c r="P1184" s="287">
        <f t="shared" si="278"/>
        <v>0</v>
      </c>
      <c r="Q1184" s="288"/>
      <c r="R1184" s="243"/>
      <c r="S1184" s="385" t="str">
        <f t="shared" si="275"/>
        <v/>
      </c>
    </row>
    <row r="1185" spans="2:19" ht="26.25" hidden="1" thickBot="1">
      <c r="B1185" s="609">
        <v>91929</v>
      </c>
      <c r="C1185" s="610" t="s">
        <v>843</v>
      </c>
      <c r="D1185" s="611" t="s">
        <v>1321</v>
      </c>
      <c r="E1185" s="602"/>
      <c r="F1185" s="603"/>
      <c r="G1185" s="604"/>
      <c r="H1185" s="605"/>
      <c r="I1185" s="675">
        <v>6.4</v>
      </c>
      <c r="J1185" s="675">
        <f t="shared" si="279"/>
        <v>6.4</v>
      </c>
      <c r="K1185" s="606">
        <f t="shared" si="276"/>
        <v>7.77</v>
      </c>
      <c r="L1185" s="389" t="s">
        <v>19</v>
      </c>
      <c r="M1185" s="30"/>
      <c r="N1185" s="30"/>
      <c r="O1185" s="287">
        <f t="shared" si="277"/>
        <v>0</v>
      </c>
      <c r="P1185" s="287">
        <f t="shared" si="278"/>
        <v>0</v>
      </c>
      <c r="Q1185" s="288"/>
      <c r="R1185" s="243"/>
      <c r="S1185" s="385" t="str">
        <f t="shared" si="275"/>
        <v/>
      </c>
    </row>
    <row r="1186" spans="2:19" ht="26.25" hidden="1" thickBot="1">
      <c r="B1186" s="609">
        <v>91931</v>
      </c>
      <c r="C1186" s="610" t="s">
        <v>843</v>
      </c>
      <c r="D1186" s="611" t="s">
        <v>1322</v>
      </c>
      <c r="E1186" s="602"/>
      <c r="F1186" s="603"/>
      <c r="G1186" s="604"/>
      <c r="H1186" s="605"/>
      <c r="I1186" s="675">
        <v>8.61</v>
      </c>
      <c r="J1186" s="675">
        <f t="shared" si="279"/>
        <v>8.61</v>
      </c>
      <c r="K1186" s="606">
        <f t="shared" si="276"/>
        <v>10.45</v>
      </c>
      <c r="L1186" s="389" t="s">
        <v>19</v>
      </c>
      <c r="M1186" s="30"/>
      <c r="N1186" s="30"/>
      <c r="O1186" s="287">
        <f t="shared" si="277"/>
        <v>0</v>
      </c>
      <c r="P1186" s="287">
        <f t="shared" si="278"/>
        <v>0</v>
      </c>
      <c r="Q1186" s="288"/>
      <c r="R1186" s="243"/>
      <c r="S1186" s="385" t="str">
        <f t="shared" si="275"/>
        <v/>
      </c>
    </row>
    <row r="1187" spans="2:19" ht="26.25" hidden="1" thickBot="1">
      <c r="B1187" s="609">
        <v>91933</v>
      </c>
      <c r="C1187" s="610" t="s">
        <v>843</v>
      </c>
      <c r="D1187" s="611" t="s">
        <v>1323</v>
      </c>
      <c r="E1187" s="602"/>
      <c r="F1187" s="603"/>
      <c r="G1187" s="604"/>
      <c r="H1187" s="605"/>
      <c r="I1187" s="675">
        <v>13.51</v>
      </c>
      <c r="J1187" s="675">
        <f t="shared" si="279"/>
        <v>13.51</v>
      </c>
      <c r="K1187" s="606">
        <f t="shared" si="276"/>
        <v>16.39</v>
      </c>
      <c r="L1187" s="389" t="s">
        <v>19</v>
      </c>
      <c r="M1187" s="30"/>
      <c r="N1187" s="30"/>
      <c r="O1187" s="287">
        <f t="shared" si="277"/>
        <v>0</v>
      </c>
      <c r="P1187" s="287">
        <f t="shared" si="278"/>
        <v>0</v>
      </c>
      <c r="Q1187" s="288"/>
      <c r="R1187" s="243"/>
      <c r="S1187" s="385" t="str">
        <f t="shared" si="275"/>
        <v/>
      </c>
    </row>
    <row r="1188" spans="2:19" ht="26.25" hidden="1" thickBot="1">
      <c r="B1188" s="609">
        <v>91935</v>
      </c>
      <c r="C1188" s="610" t="s">
        <v>843</v>
      </c>
      <c r="D1188" s="611" t="s">
        <v>1324</v>
      </c>
      <c r="E1188" s="602"/>
      <c r="F1188" s="603"/>
      <c r="G1188" s="604"/>
      <c r="H1188" s="605"/>
      <c r="I1188" s="675">
        <v>20.57</v>
      </c>
      <c r="J1188" s="675">
        <f t="shared" si="279"/>
        <v>20.57</v>
      </c>
      <c r="K1188" s="606">
        <f t="shared" si="276"/>
        <v>24.96</v>
      </c>
      <c r="L1188" s="389" t="s">
        <v>19</v>
      </c>
      <c r="M1188" s="30"/>
      <c r="N1188" s="30"/>
      <c r="O1188" s="287">
        <f t="shared" si="277"/>
        <v>0</v>
      </c>
      <c r="P1188" s="287">
        <f t="shared" si="278"/>
        <v>0</v>
      </c>
      <c r="Q1188" s="288"/>
      <c r="R1188" s="243"/>
      <c r="S1188" s="385" t="str">
        <f t="shared" si="275"/>
        <v/>
      </c>
    </row>
    <row r="1189" spans="2:19" ht="26.25" hidden="1" thickBot="1">
      <c r="B1189" s="609">
        <v>92980</v>
      </c>
      <c r="C1189" s="610" t="s">
        <v>843</v>
      </c>
      <c r="D1189" s="611" t="s">
        <v>1325</v>
      </c>
      <c r="E1189" s="602"/>
      <c r="F1189" s="603"/>
      <c r="G1189" s="604"/>
      <c r="H1189" s="605"/>
      <c r="I1189" s="675">
        <v>9.07</v>
      </c>
      <c r="J1189" s="675">
        <f t="shared" si="279"/>
        <v>9.07</v>
      </c>
      <c r="K1189" s="606">
        <f t="shared" si="276"/>
        <v>11.01</v>
      </c>
      <c r="L1189" s="389" t="s">
        <v>19</v>
      </c>
      <c r="M1189" s="30"/>
      <c r="N1189" s="30"/>
      <c r="O1189" s="287">
        <f t="shared" si="277"/>
        <v>0</v>
      </c>
      <c r="P1189" s="287">
        <f t="shared" si="278"/>
        <v>0</v>
      </c>
      <c r="Q1189" s="288"/>
      <c r="R1189" s="243"/>
      <c r="S1189" s="385" t="str">
        <f t="shared" si="275"/>
        <v/>
      </c>
    </row>
    <row r="1190" spans="2:19" ht="26.25" hidden="1" thickBot="1">
      <c r="B1190" s="609">
        <v>92982</v>
      </c>
      <c r="C1190" s="610" t="s">
        <v>843</v>
      </c>
      <c r="D1190" s="611" t="s">
        <v>1326</v>
      </c>
      <c r="E1190" s="602"/>
      <c r="F1190" s="603"/>
      <c r="G1190" s="604"/>
      <c r="H1190" s="605"/>
      <c r="I1190" s="675">
        <v>13.87</v>
      </c>
      <c r="J1190" s="675">
        <f t="shared" si="279"/>
        <v>13.87</v>
      </c>
      <c r="K1190" s="606">
        <f t="shared" si="276"/>
        <v>16.829999999999998</v>
      </c>
      <c r="L1190" s="389" t="s">
        <v>19</v>
      </c>
      <c r="M1190" s="30"/>
      <c r="N1190" s="30"/>
      <c r="O1190" s="287">
        <f t="shared" si="277"/>
        <v>0</v>
      </c>
      <c r="P1190" s="287">
        <f t="shared" si="278"/>
        <v>0</v>
      </c>
      <c r="Q1190" s="288"/>
      <c r="R1190" s="243"/>
      <c r="S1190" s="385" t="str">
        <f t="shared" si="275"/>
        <v/>
      </c>
    </row>
    <row r="1191" spans="2:19" ht="26.25" hidden="1" thickBot="1">
      <c r="B1191" s="609">
        <v>92984</v>
      </c>
      <c r="C1191" s="610" t="s">
        <v>843</v>
      </c>
      <c r="D1191" s="611" t="s">
        <v>1327</v>
      </c>
      <c r="E1191" s="602"/>
      <c r="F1191" s="603"/>
      <c r="G1191" s="604"/>
      <c r="H1191" s="605"/>
      <c r="I1191" s="675">
        <v>22.86</v>
      </c>
      <c r="J1191" s="675">
        <f t="shared" si="279"/>
        <v>22.86</v>
      </c>
      <c r="K1191" s="606">
        <f t="shared" si="276"/>
        <v>27.74</v>
      </c>
      <c r="L1191" s="389" t="s">
        <v>19</v>
      </c>
      <c r="M1191" s="30"/>
      <c r="N1191" s="30"/>
      <c r="O1191" s="287">
        <f t="shared" si="277"/>
        <v>0</v>
      </c>
      <c r="P1191" s="287">
        <f t="shared" si="278"/>
        <v>0</v>
      </c>
      <c r="Q1191" s="288"/>
      <c r="R1191" s="243"/>
      <c r="S1191" s="385" t="str">
        <f t="shared" si="275"/>
        <v/>
      </c>
    </row>
    <row r="1192" spans="2:19" ht="26.25" hidden="1" thickBot="1">
      <c r="B1192" s="609">
        <v>92986</v>
      </c>
      <c r="C1192" s="610" t="s">
        <v>843</v>
      </c>
      <c r="D1192" s="611" t="s">
        <v>1328</v>
      </c>
      <c r="E1192" s="602"/>
      <c r="F1192" s="603"/>
      <c r="G1192" s="604"/>
      <c r="H1192" s="605"/>
      <c r="I1192" s="675">
        <v>30.82</v>
      </c>
      <c r="J1192" s="675">
        <f t="shared" si="279"/>
        <v>30.82</v>
      </c>
      <c r="K1192" s="606">
        <f t="shared" si="276"/>
        <v>37.4</v>
      </c>
      <c r="L1192" s="389" t="s">
        <v>19</v>
      </c>
      <c r="M1192" s="30"/>
      <c r="N1192" s="30"/>
      <c r="O1192" s="287">
        <f t="shared" si="277"/>
        <v>0</v>
      </c>
      <c r="P1192" s="287">
        <f t="shared" si="278"/>
        <v>0</v>
      </c>
      <c r="Q1192" s="288"/>
      <c r="R1192" s="243"/>
      <c r="S1192" s="385" t="str">
        <f t="shared" si="275"/>
        <v/>
      </c>
    </row>
    <row r="1193" spans="2:19" ht="26.25" hidden="1" thickBot="1">
      <c r="B1193" s="609">
        <v>92988</v>
      </c>
      <c r="C1193" s="610" t="s">
        <v>843</v>
      </c>
      <c r="D1193" s="611" t="s">
        <v>1329</v>
      </c>
      <c r="E1193" s="602"/>
      <c r="F1193" s="603"/>
      <c r="G1193" s="604"/>
      <c r="H1193" s="605"/>
      <c r="I1193" s="675">
        <v>43.17</v>
      </c>
      <c r="J1193" s="675">
        <f t="shared" si="279"/>
        <v>43.17</v>
      </c>
      <c r="K1193" s="606">
        <f t="shared" si="276"/>
        <v>52.39</v>
      </c>
      <c r="L1193" s="389" t="s">
        <v>19</v>
      </c>
      <c r="M1193" s="30"/>
      <c r="N1193" s="30"/>
      <c r="O1193" s="287">
        <f t="shared" si="277"/>
        <v>0</v>
      </c>
      <c r="P1193" s="287">
        <f t="shared" si="278"/>
        <v>0</v>
      </c>
      <c r="Q1193" s="288"/>
      <c r="R1193" s="243"/>
      <c r="S1193" s="385" t="str">
        <f t="shared" si="275"/>
        <v/>
      </c>
    </row>
    <row r="1194" spans="2:19" ht="26.25" hidden="1" thickBot="1">
      <c r="B1194" s="609">
        <v>92990</v>
      </c>
      <c r="C1194" s="610" t="s">
        <v>843</v>
      </c>
      <c r="D1194" s="611" t="s">
        <v>1330</v>
      </c>
      <c r="E1194" s="602"/>
      <c r="F1194" s="603"/>
      <c r="G1194" s="604"/>
      <c r="H1194" s="605"/>
      <c r="I1194" s="675">
        <v>59.09</v>
      </c>
      <c r="J1194" s="675">
        <f t="shared" si="279"/>
        <v>59.09</v>
      </c>
      <c r="K1194" s="606">
        <f t="shared" si="276"/>
        <v>71.709999999999994</v>
      </c>
      <c r="L1194" s="389" t="s">
        <v>19</v>
      </c>
      <c r="M1194" s="30"/>
      <c r="N1194" s="30"/>
      <c r="O1194" s="287">
        <f t="shared" si="277"/>
        <v>0</v>
      </c>
      <c r="P1194" s="287">
        <f t="shared" si="278"/>
        <v>0</v>
      </c>
      <c r="Q1194" s="288"/>
      <c r="R1194" s="243"/>
      <c r="S1194" s="385" t="str">
        <f t="shared" si="275"/>
        <v/>
      </c>
    </row>
    <row r="1195" spans="2:19" ht="26.25" hidden="1" thickBot="1">
      <c r="B1195" s="609">
        <v>92992</v>
      </c>
      <c r="C1195" s="610" t="s">
        <v>843</v>
      </c>
      <c r="D1195" s="611" t="s">
        <v>1331</v>
      </c>
      <c r="E1195" s="602"/>
      <c r="F1195" s="603"/>
      <c r="G1195" s="604"/>
      <c r="H1195" s="605"/>
      <c r="I1195" s="675">
        <v>77.97</v>
      </c>
      <c r="J1195" s="675">
        <f t="shared" si="279"/>
        <v>77.97</v>
      </c>
      <c r="K1195" s="606">
        <f t="shared" si="276"/>
        <v>94.62</v>
      </c>
      <c r="L1195" s="389" t="s">
        <v>19</v>
      </c>
      <c r="M1195" s="30"/>
      <c r="N1195" s="30"/>
      <c r="O1195" s="287">
        <f t="shared" si="277"/>
        <v>0</v>
      </c>
      <c r="P1195" s="287">
        <f t="shared" si="278"/>
        <v>0</v>
      </c>
      <c r="Q1195" s="288"/>
      <c r="R1195" s="243"/>
      <c r="S1195" s="385" t="str">
        <f t="shared" si="275"/>
        <v/>
      </c>
    </row>
    <row r="1196" spans="2:19" ht="26.25" hidden="1" thickBot="1">
      <c r="B1196" s="609">
        <v>92994</v>
      </c>
      <c r="C1196" s="610" t="s">
        <v>843</v>
      </c>
      <c r="D1196" s="611" t="s">
        <v>1332</v>
      </c>
      <c r="E1196" s="602"/>
      <c r="F1196" s="603"/>
      <c r="G1196" s="604"/>
      <c r="H1196" s="605"/>
      <c r="I1196" s="675">
        <v>100.84</v>
      </c>
      <c r="J1196" s="675">
        <f t="shared" si="279"/>
        <v>100.84</v>
      </c>
      <c r="K1196" s="606">
        <f t="shared" si="276"/>
        <v>122.37</v>
      </c>
      <c r="L1196" s="389" t="s">
        <v>19</v>
      </c>
      <c r="M1196" s="30"/>
      <c r="N1196" s="30"/>
      <c r="O1196" s="287">
        <f t="shared" si="277"/>
        <v>0</v>
      </c>
      <c r="P1196" s="287">
        <f t="shared" si="278"/>
        <v>0</v>
      </c>
      <c r="Q1196" s="288"/>
      <c r="R1196" s="243"/>
      <c r="S1196" s="385" t="str">
        <f t="shared" si="275"/>
        <v/>
      </c>
    </row>
    <row r="1197" spans="2:19" ht="26.25" hidden="1" thickBot="1">
      <c r="B1197" s="609">
        <v>92996</v>
      </c>
      <c r="C1197" s="610" t="s">
        <v>843</v>
      </c>
      <c r="D1197" s="611" t="s">
        <v>1333</v>
      </c>
      <c r="E1197" s="602"/>
      <c r="F1197" s="603"/>
      <c r="G1197" s="604"/>
      <c r="H1197" s="605"/>
      <c r="I1197" s="675">
        <v>124.53</v>
      </c>
      <c r="J1197" s="675">
        <f t="shared" si="279"/>
        <v>124.53</v>
      </c>
      <c r="K1197" s="606">
        <f t="shared" si="276"/>
        <v>151.12</v>
      </c>
      <c r="L1197" s="389" t="s">
        <v>19</v>
      </c>
      <c r="M1197" s="30"/>
      <c r="N1197" s="30"/>
      <c r="O1197" s="287">
        <f t="shared" si="277"/>
        <v>0</v>
      </c>
      <c r="P1197" s="287">
        <f t="shared" si="278"/>
        <v>0</v>
      </c>
      <c r="Q1197" s="288"/>
      <c r="R1197" s="243"/>
      <c r="S1197" s="385" t="str">
        <f t="shared" si="275"/>
        <v/>
      </c>
    </row>
    <row r="1198" spans="2:19" ht="26.25" hidden="1" thickBot="1">
      <c r="B1198" s="609">
        <v>92998</v>
      </c>
      <c r="C1198" s="610" t="s">
        <v>843</v>
      </c>
      <c r="D1198" s="611" t="s">
        <v>1334</v>
      </c>
      <c r="E1198" s="602"/>
      <c r="F1198" s="603"/>
      <c r="G1198" s="604"/>
      <c r="H1198" s="605"/>
      <c r="I1198" s="675">
        <v>152.31</v>
      </c>
      <c r="J1198" s="675">
        <f t="shared" si="279"/>
        <v>152.31</v>
      </c>
      <c r="K1198" s="606">
        <f t="shared" si="276"/>
        <v>184.83</v>
      </c>
      <c r="L1198" s="389" t="s">
        <v>19</v>
      </c>
      <c r="M1198" s="30"/>
      <c r="N1198" s="30"/>
      <c r="O1198" s="287">
        <f t="shared" si="277"/>
        <v>0</v>
      </c>
      <c r="P1198" s="287">
        <f t="shared" si="278"/>
        <v>0</v>
      </c>
      <c r="Q1198" s="288"/>
      <c r="R1198" s="243"/>
      <c r="S1198" s="385" t="str">
        <f t="shared" si="275"/>
        <v/>
      </c>
    </row>
    <row r="1199" spans="2:19" ht="26.25" hidden="1" thickBot="1">
      <c r="B1199" s="609">
        <v>93000</v>
      </c>
      <c r="C1199" s="610" t="s">
        <v>843</v>
      </c>
      <c r="D1199" s="611" t="s">
        <v>1335</v>
      </c>
      <c r="E1199" s="602"/>
      <c r="F1199" s="603"/>
      <c r="G1199" s="604"/>
      <c r="H1199" s="605"/>
      <c r="I1199" s="675">
        <v>199.82</v>
      </c>
      <c r="J1199" s="675">
        <f t="shared" si="279"/>
        <v>199.82</v>
      </c>
      <c r="K1199" s="606">
        <f t="shared" si="276"/>
        <v>242.48</v>
      </c>
      <c r="L1199" s="389" t="s">
        <v>19</v>
      </c>
      <c r="M1199" s="30"/>
      <c r="N1199" s="30"/>
      <c r="O1199" s="287">
        <f t="shared" si="277"/>
        <v>0</v>
      </c>
      <c r="P1199" s="287">
        <f t="shared" si="278"/>
        <v>0</v>
      </c>
      <c r="Q1199" s="288"/>
      <c r="R1199" s="243"/>
      <c r="S1199" s="385" t="str">
        <f t="shared" si="275"/>
        <v/>
      </c>
    </row>
    <row r="1200" spans="2:19" ht="26.25" hidden="1" thickBot="1">
      <c r="B1200" s="609">
        <v>93002</v>
      </c>
      <c r="C1200" s="610" t="s">
        <v>843</v>
      </c>
      <c r="D1200" s="611" t="s">
        <v>1336</v>
      </c>
      <c r="E1200" s="602"/>
      <c r="F1200" s="603"/>
      <c r="G1200" s="604"/>
      <c r="H1200" s="605"/>
      <c r="I1200" s="675">
        <v>249.25</v>
      </c>
      <c r="J1200" s="675">
        <f t="shared" si="279"/>
        <v>249.25</v>
      </c>
      <c r="K1200" s="606">
        <f t="shared" si="276"/>
        <v>302.45999999999998</v>
      </c>
      <c r="L1200" s="389" t="s">
        <v>19</v>
      </c>
      <c r="M1200" s="30"/>
      <c r="N1200" s="30"/>
      <c r="O1200" s="287">
        <f t="shared" si="277"/>
        <v>0</v>
      </c>
      <c r="P1200" s="287">
        <f t="shared" si="278"/>
        <v>0</v>
      </c>
      <c r="Q1200" s="288"/>
      <c r="R1200" s="243"/>
      <c r="S1200" s="385" t="str">
        <f t="shared" si="275"/>
        <v/>
      </c>
    </row>
    <row r="1201" spans="2:19" ht="26.25" hidden="1" thickBot="1">
      <c r="B1201" s="609">
        <v>101884</v>
      </c>
      <c r="C1201" s="610" t="s">
        <v>843</v>
      </c>
      <c r="D1201" s="611" t="s">
        <v>1337</v>
      </c>
      <c r="E1201" s="602"/>
      <c r="F1201" s="603"/>
      <c r="G1201" s="604"/>
      <c r="H1201" s="605"/>
      <c r="I1201" s="675">
        <v>8.1199999999999992</v>
      </c>
      <c r="J1201" s="675">
        <f t="shared" si="279"/>
        <v>8.1199999999999992</v>
      </c>
      <c r="K1201" s="606">
        <f t="shared" si="276"/>
        <v>9.85</v>
      </c>
      <c r="L1201" s="389" t="s">
        <v>19</v>
      </c>
      <c r="M1201" s="30"/>
      <c r="N1201" s="30"/>
      <c r="O1201" s="287">
        <f t="shared" si="277"/>
        <v>0</v>
      </c>
      <c r="P1201" s="287">
        <f t="shared" si="278"/>
        <v>0</v>
      </c>
      <c r="Q1201" s="288"/>
      <c r="R1201" s="243"/>
      <c r="S1201" s="385" t="str">
        <f t="shared" si="275"/>
        <v/>
      </c>
    </row>
    <row r="1202" spans="2:19" ht="26.25" hidden="1" thickBot="1">
      <c r="B1202" s="609">
        <v>101885</v>
      </c>
      <c r="C1202" s="610" t="s">
        <v>843</v>
      </c>
      <c r="D1202" s="611" t="s">
        <v>1338</v>
      </c>
      <c r="E1202" s="602"/>
      <c r="F1202" s="603"/>
      <c r="G1202" s="604"/>
      <c r="H1202" s="605"/>
      <c r="I1202" s="675">
        <v>8.84</v>
      </c>
      <c r="J1202" s="675">
        <f t="shared" si="279"/>
        <v>8.84</v>
      </c>
      <c r="K1202" s="606">
        <f t="shared" si="276"/>
        <v>10.73</v>
      </c>
      <c r="L1202" s="389" t="s">
        <v>19</v>
      </c>
      <c r="M1202" s="30"/>
      <c r="N1202" s="30"/>
      <c r="O1202" s="287">
        <f t="shared" si="277"/>
        <v>0</v>
      </c>
      <c r="P1202" s="287">
        <f t="shared" si="278"/>
        <v>0</v>
      </c>
      <c r="Q1202" s="288"/>
      <c r="R1202" s="243"/>
      <c r="S1202" s="385" t="str">
        <f t="shared" si="275"/>
        <v/>
      </c>
    </row>
    <row r="1203" spans="2:19" ht="26.25" hidden="1" thickBot="1">
      <c r="B1203" s="609">
        <v>101886</v>
      </c>
      <c r="C1203" s="610" t="s">
        <v>843</v>
      </c>
      <c r="D1203" s="611" t="s">
        <v>1339</v>
      </c>
      <c r="E1203" s="602"/>
      <c r="F1203" s="603"/>
      <c r="G1203" s="604"/>
      <c r="H1203" s="605"/>
      <c r="I1203" s="675">
        <v>12.57</v>
      </c>
      <c r="J1203" s="675">
        <f t="shared" si="279"/>
        <v>12.57</v>
      </c>
      <c r="K1203" s="606">
        <f t="shared" si="276"/>
        <v>15.25</v>
      </c>
      <c r="L1203" s="389" t="s">
        <v>19</v>
      </c>
      <c r="M1203" s="30"/>
      <c r="N1203" s="30"/>
      <c r="O1203" s="287">
        <f t="shared" si="277"/>
        <v>0</v>
      </c>
      <c r="P1203" s="287">
        <f t="shared" si="278"/>
        <v>0</v>
      </c>
      <c r="Q1203" s="288"/>
      <c r="R1203" s="243"/>
      <c r="S1203" s="385" t="str">
        <f t="shared" si="275"/>
        <v/>
      </c>
    </row>
    <row r="1204" spans="2:19" ht="26.25" hidden="1" thickBot="1">
      <c r="B1204" s="609">
        <v>101887</v>
      </c>
      <c r="C1204" s="610" t="s">
        <v>843</v>
      </c>
      <c r="D1204" s="611" t="s">
        <v>1340</v>
      </c>
      <c r="E1204" s="602"/>
      <c r="F1204" s="603"/>
      <c r="G1204" s="604"/>
      <c r="H1204" s="605"/>
      <c r="I1204" s="675">
        <v>13.6</v>
      </c>
      <c r="J1204" s="675">
        <f t="shared" si="279"/>
        <v>13.6</v>
      </c>
      <c r="K1204" s="606">
        <f t="shared" si="276"/>
        <v>16.5</v>
      </c>
      <c r="L1204" s="389" t="s">
        <v>19</v>
      </c>
      <c r="M1204" s="30"/>
      <c r="N1204" s="30"/>
      <c r="O1204" s="287">
        <f t="shared" si="277"/>
        <v>0</v>
      </c>
      <c r="P1204" s="287">
        <f t="shared" si="278"/>
        <v>0</v>
      </c>
      <c r="Q1204" s="288"/>
      <c r="R1204" s="243"/>
      <c r="S1204" s="385" t="str">
        <f t="shared" si="275"/>
        <v/>
      </c>
    </row>
    <row r="1205" spans="2:19" ht="26.25" hidden="1" thickBot="1">
      <c r="B1205" s="609">
        <v>101888</v>
      </c>
      <c r="C1205" s="610" t="s">
        <v>843</v>
      </c>
      <c r="D1205" s="611" t="s">
        <v>1341</v>
      </c>
      <c r="E1205" s="602"/>
      <c r="F1205" s="603"/>
      <c r="G1205" s="604"/>
      <c r="H1205" s="605"/>
      <c r="I1205" s="675">
        <v>20.18</v>
      </c>
      <c r="J1205" s="675">
        <f t="shared" si="279"/>
        <v>20.18</v>
      </c>
      <c r="K1205" s="606">
        <f t="shared" si="276"/>
        <v>24.49</v>
      </c>
      <c r="L1205" s="389" t="s">
        <v>19</v>
      </c>
      <c r="M1205" s="30"/>
      <c r="N1205" s="30"/>
      <c r="O1205" s="287">
        <f t="shared" si="277"/>
        <v>0</v>
      </c>
      <c r="P1205" s="287">
        <f t="shared" si="278"/>
        <v>0</v>
      </c>
      <c r="Q1205" s="288"/>
      <c r="R1205" s="243"/>
      <c r="S1205" s="385" t="str">
        <f t="shared" si="275"/>
        <v/>
      </c>
    </row>
    <row r="1206" spans="2:19" ht="26.25" hidden="1" thickBot="1">
      <c r="B1206" s="609">
        <v>101889</v>
      </c>
      <c r="C1206" s="610" t="s">
        <v>843</v>
      </c>
      <c r="D1206" s="611" t="s">
        <v>1342</v>
      </c>
      <c r="E1206" s="602"/>
      <c r="F1206" s="603"/>
      <c r="G1206" s="604"/>
      <c r="H1206" s="605"/>
      <c r="I1206" s="675">
        <v>20.76</v>
      </c>
      <c r="J1206" s="675">
        <f t="shared" si="279"/>
        <v>20.76</v>
      </c>
      <c r="K1206" s="606">
        <f t="shared" si="276"/>
        <v>25.19</v>
      </c>
      <c r="L1206" s="389" t="s">
        <v>19</v>
      </c>
      <c r="M1206" s="30"/>
      <c r="N1206" s="30"/>
      <c r="O1206" s="287">
        <f t="shared" si="277"/>
        <v>0</v>
      </c>
      <c r="P1206" s="287">
        <f t="shared" si="278"/>
        <v>0</v>
      </c>
      <c r="Q1206" s="288"/>
      <c r="R1206" s="243"/>
      <c r="S1206" s="385" t="str">
        <f t="shared" si="275"/>
        <v/>
      </c>
    </row>
    <row r="1207" spans="2:19" ht="26.25" hidden="1" thickBot="1">
      <c r="B1207" s="609">
        <v>101560</v>
      </c>
      <c r="C1207" s="610" t="s">
        <v>843</v>
      </c>
      <c r="D1207" s="611" t="s">
        <v>1343</v>
      </c>
      <c r="E1207" s="602"/>
      <c r="F1207" s="603"/>
      <c r="G1207" s="604"/>
      <c r="H1207" s="605"/>
      <c r="I1207" s="675">
        <v>8.83</v>
      </c>
      <c r="J1207" s="675">
        <f t="shared" si="279"/>
        <v>8.83</v>
      </c>
      <c r="K1207" s="606">
        <f t="shared" si="276"/>
        <v>10.72</v>
      </c>
      <c r="L1207" s="389" t="s">
        <v>19</v>
      </c>
      <c r="M1207" s="30"/>
      <c r="N1207" s="30"/>
      <c r="O1207" s="287">
        <f t="shared" si="277"/>
        <v>0</v>
      </c>
      <c r="P1207" s="287">
        <f t="shared" si="278"/>
        <v>0</v>
      </c>
      <c r="Q1207" s="288"/>
      <c r="R1207" s="243"/>
      <c r="S1207" s="385" t="str">
        <f t="shared" si="275"/>
        <v/>
      </c>
    </row>
    <row r="1208" spans="2:19" ht="26.25" hidden="1" thickBot="1">
      <c r="B1208" s="609">
        <v>101561</v>
      </c>
      <c r="C1208" s="610" t="s">
        <v>843</v>
      </c>
      <c r="D1208" s="611" t="s">
        <v>1344</v>
      </c>
      <c r="E1208" s="602"/>
      <c r="F1208" s="603"/>
      <c r="G1208" s="604"/>
      <c r="H1208" s="605"/>
      <c r="I1208" s="675">
        <v>13.5</v>
      </c>
      <c r="J1208" s="675">
        <f t="shared" si="279"/>
        <v>13.5</v>
      </c>
      <c r="K1208" s="606">
        <f t="shared" si="276"/>
        <v>16.38</v>
      </c>
      <c r="L1208" s="389" t="s">
        <v>19</v>
      </c>
      <c r="M1208" s="30"/>
      <c r="N1208" s="30"/>
      <c r="O1208" s="287">
        <f t="shared" si="277"/>
        <v>0</v>
      </c>
      <c r="P1208" s="287">
        <f t="shared" si="278"/>
        <v>0</v>
      </c>
      <c r="Q1208" s="288"/>
      <c r="R1208" s="243"/>
      <c r="S1208" s="385" t="str">
        <f t="shared" si="275"/>
        <v/>
      </c>
    </row>
    <row r="1209" spans="2:19" ht="26.25" hidden="1" thickBot="1">
      <c r="B1209" s="609">
        <v>101562</v>
      </c>
      <c r="C1209" s="610" t="s">
        <v>843</v>
      </c>
      <c r="D1209" s="611" t="s">
        <v>1345</v>
      </c>
      <c r="E1209" s="602"/>
      <c r="F1209" s="603"/>
      <c r="G1209" s="604"/>
      <c r="H1209" s="605"/>
      <c r="I1209" s="675">
        <v>20.52</v>
      </c>
      <c r="J1209" s="675">
        <f t="shared" si="279"/>
        <v>20.52</v>
      </c>
      <c r="K1209" s="606">
        <f t="shared" si="276"/>
        <v>24.9</v>
      </c>
      <c r="L1209" s="389" t="s">
        <v>19</v>
      </c>
      <c r="M1209" s="30"/>
      <c r="N1209" s="30"/>
      <c r="O1209" s="287">
        <f t="shared" si="277"/>
        <v>0</v>
      </c>
      <c r="P1209" s="287">
        <f t="shared" si="278"/>
        <v>0</v>
      </c>
      <c r="Q1209" s="288"/>
      <c r="R1209" s="243"/>
      <c r="S1209" s="385" t="str">
        <f t="shared" si="275"/>
        <v/>
      </c>
    </row>
    <row r="1210" spans="2:19" ht="26.25" hidden="1" thickBot="1">
      <c r="B1210" s="609">
        <v>101563</v>
      </c>
      <c r="C1210" s="610" t="s">
        <v>843</v>
      </c>
      <c r="D1210" s="611" t="s">
        <v>1346</v>
      </c>
      <c r="E1210" s="602"/>
      <c r="F1210" s="603"/>
      <c r="G1210" s="604"/>
      <c r="H1210" s="605"/>
      <c r="I1210" s="675">
        <v>28.27</v>
      </c>
      <c r="J1210" s="675">
        <f t="shared" si="279"/>
        <v>28.27</v>
      </c>
      <c r="K1210" s="606">
        <f t="shared" si="276"/>
        <v>34.31</v>
      </c>
      <c r="L1210" s="389" t="s">
        <v>19</v>
      </c>
      <c r="M1210" s="30"/>
      <c r="N1210" s="30"/>
      <c r="O1210" s="287">
        <f t="shared" si="277"/>
        <v>0</v>
      </c>
      <c r="P1210" s="287">
        <f t="shared" si="278"/>
        <v>0</v>
      </c>
      <c r="Q1210" s="288"/>
      <c r="R1210" s="243"/>
      <c r="S1210" s="385" t="str">
        <f t="shared" si="275"/>
        <v/>
      </c>
    </row>
    <row r="1211" spans="2:19" ht="26.25" hidden="1" thickBot="1">
      <c r="B1211" s="609">
        <v>101564</v>
      </c>
      <c r="C1211" s="610" t="s">
        <v>843</v>
      </c>
      <c r="D1211" s="611" t="s">
        <v>1347</v>
      </c>
      <c r="E1211" s="602"/>
      <c r="F1211" s="603"/>
      <c r="G1211" s="604"/>
      <c r="H1211" s="605"/>
      <c r="I1211" s="675">
        <v>40.28</v>
      </c>
      <c r="J1211" s="675">
        <f t="shared" si="279"/>
        <v>40.28</v>
      </c>
      <c r="K1211" s="606">
        <f t="shared" si="276"/>
        <v>48.88</v>
      </c>
      <c r="L1211" s="389" t="s">
        <v>19</v>
      </c>
      <c r="M1211" s="30"/>
      <c r="N1211" s="30"/>
      <c r="O1211" s="287">
        <f t="shared" si="277"/>
        <v>0</v>
      </c>
      <c r="P1211" s="287">
        <f t="shared" si="278"/>
        <v>0</v>
      </c>
      <c r="Q1211" s="288"/>
      <c r="R1211" s="243"/>
      <c r="S1211" s="385" t="str">
        <f t="shared" si="275"/>
        <v/>
      </c>
    </row>
    <row r="1212" spans="2:19" ht="26.25" hidden="1" thickBot="1">
      <c r="B1212" s="609">
        <v>101565</v>
      </c>
      <c r="C1212" s="610" t="s">
        <v>843</v>
      </c>
      <c r="D1212" s="611" t="s">
        <v>1348</v>
      </c>
      <c r="E1212" s="602"/>
      <c r="F1212" s="603"/>
      <c r="G1212" s="604"/>
      <c r="H1212" s="605"/>
      <c r="I1212" s="675">
        <v>55.76</v>
      </c>
      <c r="J1212" s="675">
        <f t="shared" si="279"/>
        <v>55.76</v>
      </c>
      <c r="K1212" s="606">
        <f t="shared" si="276"/>
        <v>67.66</v>
      </c>
      <c r="L1212" s="389" t="s">
        <v>19</v>
      </c>
      <c r="M1212" s="30"/>
      <c r="N1212" s="30"/>
      <c r="O1212" s="287">
        <f t="shared" si="277"/>
        <v>0</v>
      </c>
      <c r="P1212" s="287">
        <f t="shared" si="278"/>
        <v>0</v>
      </c>
      <c r="Q1212" s="288"/>
      <c r="R1212" s="243"/>
      <c r="S1212" s="385" t="str">
        <f t="shared" ref="S1212:S1275" si="280">IF(R1212="x","x",IF(R1212="y","x",IF(R1212="xy","x",IF(P1212&gt;0,"x",""))))</f>
        <v/>
      </c>
    </row>
    <row r="1213" spans="2:19" ht="26.25" hidden="1" thickBot="1">
      <c r="B1213" s="609">
        <v>101567</v>
      </c>
      <c r="C1213" s="610" t="s">
        <v>843</v>
      </c>
      <c r="D1213" s="611" t="s">
        <v>1349</v>
      </c>
      <c r="E1213" s="602"/>
      <c r="F1213" s="603"/>
      <c r="G1213" s="604"/>
      <c r="H1213" s="605"/>
      <c r="I1213" s="675">
        <v>74.06</v>
      </c>
      <c r="J1213" s="675">
        <f t="shared" si="279"/>
        <v>74.06</v>
      </c>
      <c r="K1213" s="606">
        <f t="shared" si="276"/>
        <v>89.87</v>
      </c>
      <c r="L1213" s="389" t="s">
        <v>19</v>
      </c>
      <c r="M1213" s="30"/>
      <c r="N1213" s="30"/>
      <c r="O1213" s="287">
        <f t="shared" si="277"/>
        <v>0</v>
      </c>
      <c r="P1213" s="287">
        <f t="shared" si="278"/>
        <v>0</v>
      </c>
      <c r="Q1213" s="288"/>
      <c r="R1213" s="243"/>
      <c r="S1213" s="385" t="str">
        <f t="shared" si="280"/>
        <v/>
      </c>
    </row>
    <row r="1214" spans="2:19" ht="26.25" hidden="1" thickBot="1">
      <c r="B1214" s="609">
        <v>101568</v>
      </c>
      <c r="C1214" s="610" t="s">
        <v>843</v>
      </c>
      <c r="D1214" s="611" t="s">
        <v>1350</v>
      </c>
      <c r="E1214" s="602"/>
      <c r="F1214" s="603"/>
      <c r="G1214" s="604"/>
      <c r="H1214" s="605"/>
      <c r="I1214" s="675">
        <v>96.39</v>
      </c>
      <c r="J1214" s="675">
        <f t="shared" si="279"/>
        <v>96.39</v>
      </c>
      <c r="K1214" s="606">
        <f t="shared" si="276"/>
        <v>116.97</v>
      </c>
      <c r="L1214" s="389" t="s">
        <v>19</v>
      </c>
      <c r="M1214" s="30"/>
      <c r="N1214" s="30"/>
      <c r="O1214" s="287">
        <f t="shared" si="277"/>
        <v>0</v>
      </c>
      <c r="P1214" s="287">
        <f t="shared" si="278"/>
        <v>0</v>
      </c>
      <c r="Q1214" s="288"/>
      <c r="R1214" s="243"/>
      <c r="S1214" s="385" t="str">
        <f t="shared" si="280"/>
        <v/>
      </c>
    </row>
    <row r="1215" spans="2:19" ht="26.25" hidden="1" thickBot="1">
      <c r="B1215" s="609">
        <v>95777</v>
      </c>
      <c r="C1215" s="610" t="s">
        <v>843</v>
      </c>
      <c r="D1215" s="611" t="s">
        <v>1351</v>
      </c>
      <c r="E1215" s="602"/>
      <c r="F1215" s="603"/>
      <c r="G1215" s="604"/>
      <c r="H1215" s="605"/>
      <c r="I1215" s="675">
        <v>25.98</v>
      </c>
      <c r="J1215" s="675">
        <f t="shared" si="279"/>
        <v>25.98</v>
      </c>
      <c r="K1215" s="606">
        <f t="shared" si="276"/>
        <v>31.53</v>
      </c>
      <c r="L1215" s="389" t="s">
        <v>21</v>
      </c>
      <c r="M1215" s="30"/>
      <c r="N1215" s="30"/>
      <c r="O1215" s="287">
        <f t="shared" si="277"/>
        <v>0</v>
      </c>
      <c r="P1215" s="287">
        <f t="shared" si="278"/>
        <v>0</v>
      </c>
      <c r="Q1215" s="288"/>
      <c r="R1215" s="243"/>
      <c r="S1215" s="385" t="str">
        <f t="shared" si="280"/>
        <v/>
      </c>
    </row>
    <row r="1216" spans="2:19" ht="26.25" hidden="1" thickBot="1">
      <c r="B1216" s="609">
        <v>95778</v>
      </c>
      <c r="C1216" s="610" t="s">
        <v>843</v>
      </c>
      <c r="D1216" s="611" t="s">
        <v>1352</v>
      </c>
      <c r="E1216" s="602"/>
      <c r="F1216" s="603"/>
      <c r="G1216" s="604"/>
      <c r="H1216" s="605"/>
      <c r="I1216" s="675">
        <v>26.58</v>
      </c>
      <c r="J1216" s="675">
        <f t="shared" si="279"/>
        <v>26.58</v>
      </c>
      <c r="K1216" s="606">
        <f t="shared" si="276"/>
        <v>32.25</v>
      </c>
      <c r="L1216" s="389" t="s">
        <v>21</v>
      </c>
      <c r="M1216" s="30"/>
      <c r="N1216" s="30"/>
      <c r="O1216" s="287">
        <f t="shared" si="277"/>
        <v>0</v>
      </c>
      <c r="P1216" s="287">
        <f t="shared" si="278"/>
        <v>0</v>
      </c>
      <c r="Q1216" s="288"/>
      <c r="R1216" s="243"/>
      <c r="S1216" s="385" t="str">
        <f t="shared" si="280"/>
        <v/>
      </c>
    </row>
    <row r="1217" spans="2:19" ht="26.25" hidden="1" thickBot="1">
      <c r="B1217" s="609">
        <v>95779</v>
      </c>
      <c r="C1217" s="610" t="s">
        <v>843</v>
      </c>
      <c r="D1217" s="611" t="s">
        <v>1353</v>
      </c>
      <c r="E1217" s="602"/>
      <c r="F1217" s="603"/>
      <c r="G1217" s="604"/>
      <c r="H1217" s="605"/>
      <c r="I1217" s="675">
        <v>24.56</v>
      </c>
      <c r="J1217" s="675">
        <f t="shared" si="279"/>
        <v>24.56</v>
      </c>
      <c r="K1217" s="606">
        <f t="shared" si="276"/>
        <v>29.8</v>
      </c>
      <c r="L1217" s="389" t="s">
        <v>21</v>
      </c>
      <c r="M1217" s="30"/>
      <c r="N1217" s="30"/>
      <c r="O1217" s="287">
        <f t="shared" si="277"/>
        <v>0</v>
      </c>
      <c r="P1217" s="287">
        <f t="shared" si="278"/>
        <v>0</v>
      </c>
      <c r="Q1217" s="288"/>
      <c r="R1217" s="243"/>
      <c r="S1217" s="385" t="str">
        <f t="shared" si="280"/>
        <v/>
      </c>
    </row>
    <row r="1218" spans="2:19" ht="26.25" hidden="1" thickBot="1">
      <c r="B1218" s="609">
        <v>95780</v>
      </c>
      <c r="C1218" s="610" t="s">
        <v>843</v>
      </c>
      <c r="D1218" s="611" t="s">
        <v>1354</v>
      </c>
      <c r="E1218" s="602"/>
      <c r="F1218" s="603"/>
      <c r="G1218" s="604"/>
      <c r="H1218" s="605"/>
      <c r="I1218" s="675">
        <v>29.41</v>
      </c>
      <c r="J1218" s="675">
        <f t="shared" si="279"/>
        <v>29.41</v>
      </c>
      <c r="K1218" s="606">
        <f t="shared" si="276"/>
        <v>35.69</v>
      </c>
      <c r="L1218" s="389" t="s">
        <v>21</v>
      </c>
      <c r="M1218" s="30"/>
      <c r="N1218" s="30"/>
      <c r="O1218" s="287">
        <f t="shared" si="277"/>
        <v>0</v>
      </c>
      <c r="P1218" s="287">
        <f t="shared" si="278"/>
        <v>0</v>
      </c>
      <c r="Q1218" s="288"/>
      <c r="R1218" s="243"/>
      <c r="S1218" s="385" t="str">
        <f t="shared" si="280"/>
        <v/>
      </c>
    </row>
    <row r="1219" spans="2:19" ht="26.25" hidden="1" thickBot="1">
      <c r="B1219" s="609">
        <v>95781</v>
      </c>
      <c r="C1219" s="610" t="s">
        <v>843</v>
      </c>
      <c r="D1219" s="611" t="s">
        <v>1355</v>
      </c>
      <c r="E1219" s="602"/>
      <c r="F1219" s="603"/>
      <c r="G1219" s="604"/>
      <c r="H1219" s="605"/>
      <c r="I1219" s="675">
        <v>29.86</v>
      </c>
      <c r="J1219" s="675">
        <f t="shared" si="279"/>
        <v>29.86</v>
      </c>
      <c r="K1219" s="606">
        <f t="shared" si="276"/>
        <v>36.24</v>
      </c>
      <c r="L1219" s="389" t="s">
        <v>21</v>
      </c>
      <c r="M1219" s="30"/>
      <c r="N1219" s="30"/>
      <c r="O1219" s="287">
        <f t="shared" si="277"/>
        <v>0</v>
      </c>
      <c r="P1219" s="287">
        <f t="shared" si="278"/>
        <v>0</v>
      </c>
      <c r="Q1219" s="288"/>
      <c r="R1219" s="243"/>
      <c r="S1219" s="385" t="str">
        <f t="shared" si="280"/>
        <v/>
      </c>
    </row>
    <row r="1220" spans="2:19" ht="26.25" hidden="1" thickBot="1">
      <c r="B1220" s="609">
        <v>95782</v>
      </c>
      <c r="C1220" s="610" t="s">
        <v>843</v>
      </c>
      <c r="D1220" s="611" t="s">
        <v>1356</v>
      </c>
      <c r="E1220" s="602"/>
      <c r="F1220" s="603"/>
      <c r="G1220" s="604"/>
      <c r="H1220" s="605"/>
      <c r="I1220" s="675">
        <v>31.03</v>
      </c>
      <c r="J1220" s="675">
        <f t="shared" si="279"/>
        <v>31.03</v>
      </c>
      <c r="K1220" s="606">
        <f t="shared" si="276"/>
        <v>37.65</v>
      </c>
      <c r="L1220" s="389" t="s">
        <v>21</v>
      </c>
      <c r="M1220" s="30"/>
      <c r="N1220" s="30"/>
      <c r="O1220" s="287">
        <f t="shared" si="277"/>
        <v>0</v>
      </c>
      <c r="P1220" s="287">
        <f t="shared" si="278"/>
        <v>0</v>
      </c>
      <c r="Q1220" s="288"/>
      <c r="R1220" s="243"/>
      <c r="S1220" s="385" t="str">
        <f t="shared" si="280"/>
        <v/>
      </c>
    </row>
    <row r="1221" spans="2:19" ht="26.25" hidden="1" thickBot="1">
      <c r="B1221" s="609">
        <v>95785</v>
      </c>
      <c r="C1221" s="610" t="s">
        <v>843</v>
      </c>
      <c r="D1221" s="611" t="s">
        <v>1357</v>
      </c>
      <c r="E1221" s="602"/>
      <c r="F1221" s="603"/>
      <c r="G1221" s="604"/>
      <c r="H1221" s="605"/>
      <c r="I1221" s="675">
        <v>35.15</v>
      </c>
      <c r="J1221" s="675">
        <f t="shared" si="279"/>
        <v>35.15</v>
      </c>
      <c r="K1221" s="606">
        <f t="shared" si="276"/>
        <v>42.65</v>
      </c>
      <c r="L1221" s="389" t="s">
        <v>21</v>
      </c>
      <c r="M1221" s="30"/>
      <c r="N1221" s="30"/>
      <c r="O1221" s="287">
        <f t="shared" si="277"/>
        <v>0</v>
      </c>
      <c r="P1221" s="287">
        <f t="shared" si="278"/>
        <v>0</v>
      </c>
      <c r="Q1221" s="288"/>
      <c r="R1221" s="243"/>
      <c r="S1221" s="385" t="str">
        <f t="shared" si="280"/>
        <v/>
      </c>
    </row>
    <row r="1222" spans="2:19" ht="26.25" hidden="1" thickBot="1">
      <c r="B1222" s="609">
        <v>95787</v>
      </c>
      <c r="C1222" s="610" t="s">
        <v>843</v>
      </c>
      <c r="D1222" s="611" t="s">
        <v>1358</v>
      </c>
      <c r="E1222" s="602"/>
      <c r="F1222" s="603"/>
      <c r="G1222" s="604"/>
      <c r="H1222" s="605"/>
      <c r="I1222" s="675">
        <v>26.35</v>
      </c>
      <c r="J1222" s="675">
        <f t="shared" si="279"/>
        <v>26.35</v>
      </c>
      <c r="K1222" s="606">
        <f t="shared" si="276"/>
        <v>31.98</v>
      </c>
      <c r="L1222" s="389" t="s">
        <v>21</v>
      </c>
      <c r="M1222" s="30"/>
      <c r="N1222" s="30"/>
      <c r="O1222" s="287">
        <f t="shared" si="277"/>
        <v>0</v>
      </c>
      <c r="P1222" s="287">
        <f t="shared" si="278"/>
        <v>0</v>
      </c>
      <c r="Q1222" s="288"/>
      <c r="R1222" s="243"/>
      <c r="S1222" s="385" t="str">
        <f t="shared" si="280"/>
        <v/>
      </c>
    </row>
    <row r="1223" spans="2:19" ht="26.25" hidden="1" thickBot="1">
      <c r="B1223" s="609">
        <v>95789</v>
      </c>
      <c r="C1223" s="610" t="s">
        <v>843</v>
      </c>
      <c r="D1223" s="611" t="s">
        <v>1359</v>
      </c>
      <c r="E1223" s="602"/>
      <c r="F1223" s="603"/>
      <c r="G1223" s="604"/>
      <c r="H1223" s="605"/>
      <c r="I1223" s="675">
        <v>32.380000000000003</v>
      </c>
      <c r="J1223" s="675">
        <f t="shared" si="279"/>
        <v>32.380000000000003</v>
      </c>
      <c r="K1223" s="606">
        <f t="shared" si="276"/>
        <v>39.29</v>
      </c>
      <c r="L1223" s="389" t="s">
        <v>21</v>
      </c>
      <c r="M1223" s="30"/>
      <c r="N1223" s="30"/>
      <c r="O1223" s="287">
        <f t="shared" si="277"/>
        <v>0</v>
      </c>
      <c r="P1223" s="287">
        <f t="shared" si="278"/>
        <v>0</v>
      </c>
      <c r="Q1223" s="288"/>
      <c r="R1223" s="243"/>
      <c r="S1223" s="385" t="str">
        <f t="shared" si="280"/>
        <v/>
      </c>
    </row>
    <row r="1224" spans="2:19" ht="26.25" hidden="1" thickBot="1">
      <c r="B1224" s="609">
        <v>95791</v>
      </c>
      <c r="C1224" s="610" t="s">
        <v>843</v>
      </c>
      <c r="D1224" s="611" t="s">
        <v>1360</v>
      </c>
      <c r="E1224" s="602"/>
      <c r="F1224" s="603"/>
      <c r="G1224" s="604"/>
      <c r="H1224" s="605"/>
      <c r="I1224" s="675">
        <v>41.36</v>
      </c>
      <c r="J1224" s="675">
        <f t="shared" si="279"/>
        <v>41.36</v>
      </c>
      <c r="K1224" s="606">
        <f t="shared" si="276"/>
        <v>50.19</v>
      </c>
      <c r="L1224" s="389" t="s">
        <v>21</v>
      </c>
      <c r="M1224" s="30"/>
      <c r="N1224" s="30"/>
      <c r="O1224" s="287">
        <f t="shared" si="277"/>
        <v>0</v>
      </c>
      <c r="P1224" s="287">
        <f t="shared" si="278"/>
        <v>0</v>
      </c>
      <c r="Q1224" s="288"/>
      <c r="R1224" s="243"/>
      <c r="S1224" s="385" t="str">
        <f t="shared" si="280"/>
        <v/>
      </c>
    </row>
    <row r="1225" spans="2:19" ht="26.25" hidden="1" thickBot="1">
      <c r="B1225" s="609">
        <v>95795</v>
      </c>
      <c r="C1225" s="610" t="s">
        <v>843</v>
      </c>
      <c r="D1225" s="611" t="s">
        <v>1361</v>
      </c>
      <c r="E1225" s="602"/>
      <c r="F1225" s="603"/>
      <c r="G1225" s="604"/>
      <c r="H1225" s="605"/>
      <c r="I1225" s="675">
        <v>30.42</v>
      </c>
      <c r="J1225" s="675">
        <f t="shared" si="279"/>
        <v>30.42</v>
      </c>
      <c r="K1225" s="606">
        <f t="shared" si="276"/>
        <v>36.909999999999997</v>
      </c>
      <c r="L1225" s="389" t="s">
        <v>21</v>
      </c>
      <c r="M1225" s="30"/>
      <c r="N1225" s="30"/>
      <c r="O1225" s="287">
        <f t="shared" si="277"/>
        <v>0</v>
      </c>
      <c r="P1225" s="287">
        <f t="shared" si="278"/>
        <v>0</v>
      </c>
      <c r="Q1225" s="288"/>
      <c r="R1225" s="243"/>
      <c r="S1225" s="385" t="str">
        <f t="shared" si="280"/>
        <v/>
      </c>
    </row>
    <row r="1226" spans="2:19" ht="26.25" hidden="1" thickBot="1">
      <c r="B1226" s="609">
        <v>95796</v>
      </c>
      <c r="C1226" s="610" t="s">
        <v>843</v>
      </c>
      <c r="D1226" s="611" t="s">
        <v>1362</v>
      </c>
      <c r="E1226" s="602"/>
      <c r="F1226" s="603"/>
      <c r="G1226" s="604"/>
      <c r="H1226" s="605"/>
      <c r="I1226" s="675">
        <v>38.090000000000003</v>
      </c>
      <c r="J1226" s="675">
        <f t="shared" si="279"/>
        <v>38.090000000000003</v>
      </c>
      <c r="K1226" s="606">
        <f t="shared" si="276"/>
        <v>46.22</v>
      </c>
      <c r="L1226" s="389" t="s">
        <v>21</v>
      </c>
      <c r="M1226" s="30"/>
      <c r="N1226" s="30"/>
      <c r="O1226" s="287">
        <f t="shared" si="277"/>
        <v>0</v>
      </c>
      <c r="P1226" s="287">
        <f t="shared" si="278"/>
        <v>0</v>
      </c>
      <c r="Q1226" s="288"/>
      <c r="R1226" s="243"/>
      <c r="S1226" s="385" t="str">
        <f t="shared" si="280"/>
        <v/>
      </c>
    </row>
    <row r="1227" spans="2:19" ht="26.25" hidden="1" thickBot="1">
      <c r="B1227" s="609">
        <v>95797</v>
      </c>
      <c r="C1227" s="610" t="s">
        <v>843</v>
      </c>
      <c r="D1227" s="611" t="s">
        <v>1363</v>
      </c>
      <c r="E1227" s="602"/>
      <c r="F1227" s="603"/>
      <c r="G1227" s="604"/>
      <c r="H1227" s="605"/>
      <c r="I1227" s="675">
        <v>48.07</v>
      </c>
      <c r="J1227" s="675">
        <f t="shared" si="279"/>
        <v>48.07</v>
      </c>
      <c r="K1227" s="606">
        <f t="shared" si="276"/>
        <v>58.33</v>
      </c>
      <c r="L1227" s="389" t="s">
        <v>21</v>
      </c>
      <c r="M1227" s="30"/>
      <c r="N1227" s="30"/>
      <c r="O1227" s="287">
        <f t="shared" si="277"/>
        <v>0</v>
      </c>
      <c r="P1227" s="287">
        <f t="shared" si="278"/>
        <v>0</v>
      </c>
      <c r="Q1227" s="288"/>
      <c r="R1227" s="243"/>
      <c r="S1227" s="385" t="str">
        <f t="shared" si="280"/>
        <v/>
      </c>
    </row>
    <row r="1228" spans="2:19" ht="26.25" hidden="1" thickBot="1">
      <c r="B1228" s="609">
        <v>95801</v>
      </c>
      <c r="C1228" s="610" t="s">
        <v>843</v>
      </c>
      <c r="D1228" s="611" t="s">
        <v>1364</v>
      </c>
      <c r="E1228" s="602"/>
      <c r="F1228" s="603"/>
      <c r="G1228" s="604"/>
      <c r="H1228" s="605"/>
      <c r="I1228" s="675">
        <v>36.39</v>
      </c>
      <c r="J1228" s="675">
        <f t="shared" si="279"/>
        <v>36.39</v>
      </c>
      <c r="K1228" s="606">
        <f t="shared" si="276"/>
        <v>44.16</v>
      </c>
      <c r="L1228" s="389" t="s">
        <v>21</v>
      </c>
      <c r="M1228" s="30"/>
      <c r="N1228" s="30"/>
      <c r="O1228" s="287">
        <f t="shared" si="277"/>
        <v>0</v>
      </c>
      <c r="P1228" s="287">
        <f t="shared" si="278"/>
        <v>0</v>
      </c>
      <c r="Q1228" s="288"/>
      <c r="R1228" s="243"/>
      <c r="S1228" s="385" t="str">
        <f t="shared" si="280"/>
        <v/>
      </c>
    </row>
    <row r="1229" spans="2:19" ht="26.25" hidden="1" thickBot="1">
      <c r="B1229" s="609">
        <v>95802</v>
      </c>
      <c r="C1229" s="610" t="s">
        <v>843</v>
      </c>
      <c r="D1229" s="611" t="s">
        <v>1365</v>
      </c>
      <c r="E1229" s="602"/>
      <c r="F1229" s="603"/>
      <c r="G1229" s="604"/>
      <c r="H1229" s="605"/>
      <c r="I1229" s="675">
        <v>40.54</v>
      </c>
      <c r="J1229" s="675">
        <f t="shared" si="279"/>
        <v>40.54</v>
      </c>
      <c r="K1229" s="606">
        <f t="shared" si="276"/>
        <v>49.2</v>
      </c>
      <c r="L1229" s="389" t="s">
        <v>21</v>
      </c>
      <c r="M1229" s="30"/>
      <c r="N1229" s="30"/>
      <c r="O1229" s="287">
        <f t="shared" si="277"/>
        <v>0</v>
      </c>
      <c r="P1229" s="287">
        <f t="shared" si="278"/>
        <v>0</v>
      </c>
      <c r="Q1229" s="288"/>
      <c r="R1229" s="243"/>
      <c r="S1229" s="385" t="str">
        <f t="shared" si="280"/>
        <v/>
      </c>
    </row>
    <row r="1230" spans="2:19" ht="26.25" hidden="1" thickBot="1">
      <c r="B1230" s="609">
        <v>95803</v>
      </c>
      <c r="C1230" s="610" t="s">
        <v>843</v>
      </c>
      <c r="D1230" s="611" t="s">
        <v>1366</v>
      </c>
      <c r="E1230" s="602"/>
      <c r="F1230" s="603"/>
      <c r="G1230" s="604"/>
      <c r="H1230" s="605"/>
      <c r="I1230" s="675">
        <v>53.31</v>
      </c>
      <c r="J1230" s="675">
        <f t="shared" si="279"/>
        <v>53.31</v>
      </c>
      <c r="K1230" s="606">
        <f t="shared" si="276"/>
        <v>64.69</v>
      </c>
      <c r="L1230" s="389" t="s">
        <v>21</v>
      </c>
      <c r="M1230" s="30"/>
      <c r="N1230" s="30"/>
      <c r="O1230" s="287">
        <f t="shared" si="277"/>
        <v>0</v>
      </c>
      <c r="P1230" s="287">
        <f t="shared" si="278"/>
        <v>0</v>
      </c>
      <c r="Q1230" s="288"/>
      <c r="R1230" s="243"/>
      <c r="S1230" s="385" t="str">
        <f t="shared" si="280"/>
        <v/>
      </c>
    </row>
    <row r="1231" spans="2:19" ht="26.25" hidden="1" thickBot="1">
      <c r="B1231" s="609">
        <v>95804</v>
      </c>
      <c r="C1231" s="610" t="s">
        <v>843</v>
      </c>
      <c r="D1231" s="611" t="s">
        <v>1367</v>
      </c>
      <c r="E1231" s="602"/>
      <c r="F1231" s="603"/>
      <c r="G1231" s="604"/>
      <c r="H1231" s="605"/>
      <c r="I1231" s="675">
        <v>24.5</v>
      </c>
      <c r="J1231" s="675">
        <f t="shared" si="279"/>
        <v>24.5</v>
      </c>
      <c r="K1231" s="606">
        <f t="shared" si="276"/>
        <v>29.73</v>
      </c>
      <c r="L1231" s="389" t="s">
        <v>21</v>
      </c>
      <c r="M1231" s="30"/>
      <c r="N1231" s="30"/>
      <c r="O1231" s="287">
        <f t="shared" si="277"/>
        <v>0</v>
      </c>
      <c r="P1231" s="287">
        <f t="shared" si="278"/>
        <v>0</v>
      </c>
      <c r="Q1231" s="288"/>
      <c r="R1231" s="243"/>
      <c r="S1231" s="385" t="str">
        <f t="shared" si="280"/>
        <v/>
      </c>
    </row>
    <row r="1232" spans="2:19" ht="26.25" hidden="1" thickBot="1">
      <c r="B1232" s="609">
        <v>95805</v>
      </c>
      <c r="C1232" s="610" t="s">
        <v>843</v>
      </c>
      <c r="D1232" s="611" t="s">
        <v>1368</v>
      </c>
      <c r="E1232" s="602"/>
      <c r="F1232" s="603"/>
      <c r="G1232" s="604"/>
      <c r="H1232" s="605"/>
      <c r="I1232" s="675">
        <v>24.71</v>
      </c>
      <c r="J1232" s="675">
        <f t="shared" si="279"/>
        <v>24.71</v>
      </c>
      <c r="K1232" s="606">
        <f t="shared" si="276"/>
        <v>29.99</v>
      </c>
      <c r="L1232" s="389" t="s">
        <v>21</v>
      </c>
      <c r="M1232" s="30"/>
      <c r="N1232" s="30"/>
      <c r="O1232" s="287">
        <f t="shared" si="277"/>
        <v>0</v>
      </c>
      <c r="P1232" s="287">
        <f t="shared" si="278"/>
        <v>0</v>
      </c>
      <c r="Q1232" s="288"/>
      <c r="R1232" s="243"/>
      <c r="S1232" s="385" t="str">
        <f t="shared" si="280"/>
        <v/>
      </c>
    </row>
    <row r="1233" spans="2:19" ht="26.25" hidden="1" thickBot="1">
      <c r="B1233" s="609">
        <v>95806</v>
      </c>
      <c r="C1233" s="610" t="s">
        <v>843</v>
      </c>
      <c r="D1233" s="611" t="s">
        <v>1369</v>
      </c>
      <c r="E1233" s="602"/>
      <c r="F1233" s="603"/>
      <c r="G1233" s="604"/>
      <c r="H1233" s="605"/>
      <c r="I1233" s="675">
        <v>25.53</v>
      </c>
      <c r="J1233" s="675">
        <f t="shared" si="279"/>
        <v>25.53</v>
      </c>
      <c r="K1233" s="606">
        <f t="shared" ref="K1233:K1296" si="281">IF(ISBLANK(I1233),0,ROUND(J1233*(1+$F$10)*(1+$F$11*E1233),2))</f>
        <v>30.98</v>
      </c>
      <c r="L1233" s="389" t="s">
        <v>21</v>
      </c>
      <c r="M1233" s="30"/>
      <c r="N1233" s="30"/>
      <c r="O1233" s="287">
        <f t="shared" ref="O1233:O1296" si="282">IF(ISBLANK(M1233),0,ROUND(K1233*M1233,2))</f>
        <v>0</v>
      </c>
      <c r="P1233" s="287">
        <f t="shared" ref="P1233:P1296" si="283">IF(ISBLANK(N1233),0,ROUND(M1233*N1233,2))</f>
        <v>0</v>
      </c>
      <c r="Q1233" s="288"/>
      <c r="R1233" s="243"/>
      <c r="S1233" s="385" t="str">
        <f t="shared" si="280"/>
        <v/>
      </c>
    </row>
    <row r="1234" spans="2:19" ht="26.25" hidden="1" thickBot="1">
      <c r="B1234" s="609">
        <v>95807</v>
      </c>
      <c r="C1234" s="610" t="s">
        <v>843</v>
      </c>
      <c r="D1234" s="611" t="s">
        <v>1370</v>
      </c>
      <c r="E1234" s="602"/>
      <c r="F1234" s="603"/>
      <c r="G1234" s="604"/>
      <c r="H1234" s="605"/>
      <c r="I1234" s="675">
        <v>28.08</v>
      </c>
      <c r="J1234" s="675">
        <f t="shared" si="279"/>
        <v>28.08</v>
      </c>
      <c r="K1234" s="606">
        <f t="shared" si="281"/>
        <v>34.08</v>
      </c>
      <c r="L1234" s="389" t="s">
        <v>21</v>
      </c>
      <c r="M1234" s="30"/>
      <c r="N1234" s="30"/>
      <c r="O1234" s="287">
        <f t="shared" si="282"/>
        <v>0</v>
      </c>
      <c r="P1234" s="287">
        <f t="shared" si="283"/>
        <v>0</v>
      </c>
      <c r="Q1234" s="288"/>
      <c r="R1234" s="243"/>
      <c r="S1234" s="385" t="str">
        <f t="shared" si="280"/>
        <v/>
      </c>
    </row>
    <row r="1235" spans="2:19" ht="26.25" hidden="1" thickBot="1">
      <c r="B1235" s="609">
        <v>95808</v>
      </c>
      <c r="C1235" s="610" t="s">
        <v>843</v>
      </c>
      <c r="D1235" s="611" t="s">
        <v>1371</v>
      </c>
      <c r="E1235" s="602"/>
      <c r="F1235" s="603"/>
      <c r="G1235" s="604"/>
      <c r="H1235" s="605"/>
      <c r="I1235" s="675">
        <v>28.71</v>
      </c>
      <c r="J1235" s="675">
        <f t="shared" si="279"/>
        <v>28.71</v>
      </c>
      <c r="K1235" s="606">
        <f t="shared" si="281"/>
        <v>34.840000000000003</v>
      </c>
      <c r="L1235" s="389" t="s">
        <v>21</v>
      </c>
      <c r="M1235" s="30"/>
      <c r="N1235" s="30"/>
      <c r="O1235" s="287">
        <f t="shared" si="282"/>
        <v>0</v>
      </c>
      <c r="P1235" s="287">
        <f t="shared" si="283"/>
        <v>0</v>
      </c>
      <c r="Q1235" s="288"/>
      <c r="R1235" s="243"/>
      <c r="S1235" s="385" t="str">
        <f t="shared" si="280"/>
        <v/>
      </c>
    </row>
    <row r="1236" spans="2:19" ht="26.25" hidden="1" thickBot="1">
      <c r="B1236" s="609">
        <v>95809</v>
      </c>
      <c r="C1236" s="610" t="s">
        <v>843</v>
      </c>
      <c r="D1236" s="611" t="s">
        <v>1372</v>
      </c>
      <c r="E1236" s="602"/>
      <c r="F1236" s="603"/>
      <c r="G1236" s="604"/>
      <c r="H1236" s="605"/>
      <c r="I1236" s="675">
        <v>31.63</v>
      </c>
      <c r="J1236" s="675">
        <f t="shared" si="279"/>
        <v>31.63</v>
      </c>
      <c r="K1236" s="606">
        <f t="shared" si="281"/>
        <v>38.380000000000003</v>
      </c>
      <c r="L1236" s="389" t="s">
        <v>21</v>
      </c>
      <c r="M1236" s="30"/>
      <c r="N1236" s="30"/>
      <c r="O1236" s="287">
        <f t="shared" si="282"/>
        <v>0</v>
      </c>
      <c r="P1236" s="287">
        <f t="shared" si="283"/>
        <v>0</v>
      </c>
      <c r="Q1236" s="288"/>
      <c r="R1236" s="243"/>
      <c r="S1236" s="385" t="str">
        <f t="shared" si="280"/>
        <v/>
      </c>
    </row>
    <row r="1237" spans="2:19" ht="26.25" hidden="1" thickBot="1">
      <c r="B1237" s="609">
        <v>95810</v>
      </c>
      <c r="C1237" s="610" t="s">
        <v>843</v>
      </c>
      <c r="D1237" s="611" t="s">
        <v>1373</v>
      </c>
      <c r="E1237" s="602"/>
      <c r="F1237" s="603"/>
      <c r="G1237" s="604"/>
      <c r="H1237" s="605"/>
      <c r="I1237" s="675">
        <v>15.99</v>
      </c>
      <c r="J1237" s="675">
        <f t="shared" si="279"/>
        <v>15.99</v>
      </c>
      <c r="K1237" s="606">
        <f t="shared" si="281"/>
        <v>19.399999999999999</v>
      </c>
      <c r="L1237" s="389" t="s">
        <v>21</v>
      </c>
      <c r="M1237" s="30"/>
      <c r="N1237" s="30"/>
      <c r="O1237" s="287">
        <f t="shared" si="282"/>
        <v>0</v>
      </c>
      <c r="P1237" s="287">
        <f t="shared" si="283"/>
        <v>0</v>
      </c>
      <c r="Q1237" s="288"/>
      <c r="R1237" s="243"/>
      <c r="S1237" s="385" t="str">
        <f t="shared" si="280"/>
        <v/>
      </c>
    </row>
    <row r="1238" spans="2:19" ht="26.25" hidden="1" thickBot="1">
      <c r="B1238" s="609">
        <v>95811</v>
      </c>
      <c r="C1238" s="610" t="s">
        <v>843</v>
      </c>
      <c r="D1238" s="611" t="s">
        <v>1374</v>
      </c>
      <c r="E1238" s="602"/>
      <c r="F1238" s="603"/>
      <c r="G1238" s="604"/>
      <c r="H1238" s="605"/>
      <c r="I1238" s="675">
        <v>16.62</v>
      </c>
      <c r="J1238" s="675">
        <f t="shared" si="279"/>
        <v>16.62</v>
      </c>
      <c r="K1238" s="606">
        <f t="shared" si="281"/>
        <v>20.170000000000002</v>
      </c>
      <c r="L1238" s="389" t="s">
        <v>21</v>
      </c>
      <c r="M1238" s="30"/>
      <c r="N1238" s="30"/>
      <c r="O1238" s="287">
        <f t="shared" si="282"/>
        <v>0</v>
      </c>
      <c r="P1238" s="287">
        <f t="shared" si="283"/>
        <v>0</v>
      </c>
      <c r="Q1238" s="288"/>
      <c r="R1238" s="243"/>
      <c r="S1238" s="385" t="str">
        <f t="shared" si="280"/>
        <v/>
      </c>
    </row>
    <row r="1239" spans="2:19" ht="26.25" hidden="1" thickBot="1">
      <c r="B1239" s="609">
        <v>95812</v>
      </c>
      <c r="C1239" s="610" t="s">
        <v>843</v>
      </c>
      <c r="D1239" s="611" t="s">
        <v>1375</v>
      </c>
      <c r="E1239" s="602"/>
      <c r="F1239" s="603"/>
      <c r="G1239" s="604"/>
      <c r="H1239" s="605"/>
      <c r="I1239" s="675">
        <v>19.54</v>
      </c>
      <c r="J1239" s="675">
        <f t="shared" si="279"/>
        <v>19.54</v>
      </c>
      <c r="K1239" s="606">
        <f t="shared" si="281"/>
        <v>23.71</v>
      </c>
      <c r="L1239" s="389" t="s">
        <v>21</v>
      </c>
      <c r="M1239" s="30"/>
      <c r="N1239" s="30"/>
      <c r="O1239" s="287">
        <f t="shared" si="282"/>
        <v>0</v>
      </c>
      <c r="P1239" s="287">
        <f t="shared" si="283"/>
        <v>0</v>
      </c>
      <c r="Q1239" s="288"/>
      <c r="R1239" s="243"/>
      <c r="S1239" s="385" t="str">
        <f t="shared" si="280"/>
        <v/>
      </c>
    </row>
    <row r="1240" spans="2:19" ht="26.25" hidden="1" thickBot="1">
      <c r="B1240" s="609">
        <v>95813</v>
      </c>
      <c r="C1240" s="610" t="s">
        <v>843</v>
      </c>
      <c r="D1240" s="611" t="s">
        <v>1376</v>
      </c>
      <c r="E1240" s="602"/>
      <c r="F1240" s="603"/>
      <c r="G1240" s="604"/>
      <c r="H1240" s="605"/>
      <c r="I1240" s="675">
        <v>19.09</v>
      </c>
      <c r="J1240" s="675">
        <f t="shared" si="279"/>
        <v>19.09</v>
      </c>
      <c r="K1240" s="606">
        <f t="shared" si="281"/>
        <v>23.17</v>
      </c>
      <c r="L1240" s="389" t="s">
        <v>21</v>
      </c>
      <c r="M1240" s="30"/>
      <c r="N1240" s="30"/>
      <c r="O1240" s="287">
        <f t="shared" si="282"/>
        <v>0</v>
      </c>
      <c r="P1240" s="287">
        <f t="shared" si="283"/>
        <v>0</v>
      </c>
      <c r="Q1240" s="288"/>
      <c r="R1240" s="243"/>
      <c r="S1240" s="385" t="str">
        <f t="shared" si="280"/>
        <v/>
      </c>
    </row>
    <row r="1241" spans="2:19" ht="26.25" hidden="1" thickBot="1">
      <c r="B1241" s="609">
        <v>95814</v>
      </c>
      <c r="C1241" s="610" t="s">
        <v>843</v>
      </c>
      <c r="D1241" s="611" t="s">
        <v>1377</v>
      </c>
      <c r="E1241" s="602"/>
      <c r="F1241" s="603"/>
      <c r="G1241" s="604"/>
      <c r="H1241" s="605"/>
      <c r="I1241" s="675">
        <v>20.03</v>
      </c>
      <c r="J1241" s="675">
        <f t="shared" si="279"/>
        <v>20.03</v>
      </c>
      <c r="K1241" s="606">
        <f t="shared" si="281"/>
        <v>24.31</v>
      </c>
      <c r="L1241" s="389" t="s">
        <v>21</v>
      </c>
      <c r="M1241" s="30"/>
      <c r="N1241" s="30"/>
      <c r="O1241" s="287">
        <f t="shared" si="282"/>
        <v>0</v>
      </c>
      <c r="P1241" s="287">
        <f t="shared" si="283"/>
        <v>0</v>
      </c>
      <c r="Q1241" s="288"/>
      <c r="R1241" s="243"/>
      <c r="S1241" s="385" t="str">
        <f t="shared" si="280"/>
        <v/>
      </c>
    </row>
    <row r="1242" spans="2:19" ht="26.25" hidden="1" thickBot="1">
      <c r="B1242" s="609">
        <v>95815</v>
      </c>
      <c r="C1242" s="610" t="s">
        <v>843</v>
      </c>
      <c r="D1242" s="611" t="s">
        <v>1378</v>
      </c>
      <c r="E1242" s="602"/>
      <c r="F1242" s="603"/>
      <c r="G1242" s="604"/>
      <c r="H1242" s="605"/>
      <c r="I1242" s="675">
        <v>25.71</v>
      </c>
      <c r="J1242" s="675">
        <f t="shared" si="279"/>
        <v>25.71</v>
      </c>
      <c r="K1242" s="606">
        <f t="shared" si="281"/>
        <v>31.2</v>
      </c>
      <c r="L1242" s="389" t="s">
        <v>21</v>
      </c>
      <c r="M1242" s="30"/>
      <c r="N1242" s="30"/>
      <c r="O1242" s="287">
        <f t="shared" si="282"/>
        <v>0</v>
      </c>
      <c r="P1242" s="287">
        <f t="shared" si="283"/>
        <v>0</v>
      </c>
      <c r="Q1242" s="288"/>
      <c r="R1242" s="243"/>
      <c r="S1242" s="385" t="str">
        <f t="shared" si="280"/>
        <v/>
      </c>
    </row>
    <row r="1243" spans="2:19" ht="26.25" hidden="1" thickBot="1">
      <c r="B1243" s="609">
        <v>95816</v>
      </c>
      <c r="C1243" s="610" t="s">
        <v>843</v>
      </c>
      <c r="D1243" s="611" t="s">
        <v>1379</v>
      </c>
      <c r="E1243" s="602"/>
      <c r="F1243" s="603"/>
      <c r="G1243" s="604"/>
      <c r="H1243" s="605"/>
      <c r="I1243" s="675">
        <v>34.54</v>
      </c>
      <c r="J1243" s="675">
        <f t="shared" si="279"/>
        <v>34.54</v>
      </c>
      <c r="K1243" s="606">
        <f t="shared" si="281"/>
        <v>41.91</v>
      </c>
      <c r="L1243" s="389" t="s">
        <v>21</v>
      </c>
      <c r="M1243" s="30"/>
      <c r="N1243" s="30"/>
      <c r="O1243" s="287">
        <f t="shared" si="282"/>
        <v>0</v>
      </c>
      <c r="P1243" s="287">
        <f t="shared" si="283"/>
        <v>0</v>
      </c>
      <c r="Q1243" s="288"/>
      <c r="R1243" s="243"/>
      <c r="S1243" s="385" t="str">
        <f t="shared" si="280"/>
        <v/>
      </c>
    </row>
    <row r="1244" spans="2:19" ht="26.25" hidden="1" thickBot="1">
      <c r="B1244" s="609">
        <v>95817</v>
      </c>
      <c r="C1244" s="610" t="s">
        <v>843</v>
      </c>
      <c r="D1244" s="611" t="s">
        <v>1380</v>
      </c>
      <c r="E1244" s="602"/>
      <c r="F1244" s="603"/>
      <c r="G1244" s="604"/>
      <c r="H1244" s="605"/>
      <c r="I1244" s="675">
        <v>35.31</v>
      </c>
      <c r="J1244" s="675">
        <f t="shared" ref="J1244:J1307" si="284">IF(ISBLANK(I1244),"",SUM(H1244:I1244))</f>
        <v>35.31</v>
      </c>
      <c r="K1244" s="606">
        <f t="shared" si="281"/>
        <v>42.85</v>
      </c>
      <c r="L1244" s="389" t="s">
        <v>21</v>
      </c>
      <c r="M1244" s="30"/>
      <c r="N1244" s="30"/>
      <c r="O1244" s="287">
        <f t="shared" si="282"/>
        <v>0</v>
      </c>
      <c r="P1244" s="287">
        <f t="shared" si="283"/>
        <v>0</v>
      </c>
      <c r="Q1244" s="288"/>
      <c r="R1244" s="243"/>
      <c r="S1244" s="385" t="str">
        <f t="shared" si="280"/>
        <v/>
      </c>
    </row>
    <row r="1245" spans="2:19" ht="26.25" hidden="1" thickBot="1">
      <c r="B1245" s="609">
        <v>95818</v>
      </c>
      <c r="C1245" s="610" t="s">
        <v>843</v>
      </c>
      <c r="D1245" s="611" t="s">
        <v>1381</v>
      </c>
      <c r="E1245" s="602"/>
      <c r="F1245" s="603"/>
      <c r="G1245" s="604"/>
      <c r="H1245" s="605"/>
      <c r="I1245" s="675">
        <v>42.95</v>
      </c>
      <c r="J1245" s="675">
        <f t="shared" si="284"/>
        <v>42.95</v>
      </c>
      <c r="K1245" s="606">
        <f t="shared" si="281"/>
        <v>52.12</v>
      </c>
      <c r="L1245" s="389" t="s">
        <v>21</v>
      </c>
      <c r="M1245" s="30"/>
      <c r="N1245" s="30"/>
      <c r="O1245" s="287">
        <f t="shared" si="282"/>
        <v>0</v>
      </c>
      <c r="P1245" s="287">
        <f t="shared" si="283"/>
        <v>0</v>
      </c>
      <c r="Q1245" s="288"/>
      <c r="R1245" s="243"/>
      <c r="S1245" s="385" t="str">
        <f t="shared" si="280"/>
        <v/>
      </c>
    </row>
    <row r="1246" spans="2:19" ht="13.5" hidden="1" thickBot="1">
      <c r="B1246" s="609">
        <v>91936</v>
      </c>
      <c r="C1246" s="610" t="s">
        <v>843</v>
      </c>
      <c r="D1246" s="611" t="s">
        <v>1382</v>
      </c>
      <c r="E1246" s="602"/>
      <c r="F1246" s="603"/>
      <c r="G1246" s="604"/>
      <c r="H1246" s="605"/>
      <c r="I1246" s="675">
        <v>13.31</v>
      </c>
      <c r="J1246" s="675">
        <f t="shared" si="284"/>
        <v>13.31</v>
      </c>
      <c r="K1246" s="606">
        <f t="shared" si="281"/>
        <v>16.149999999999999</v>
      </c>
      <c r="L1246" s="389" t="s">
        <v>21</v>
      </c>
      <c r="M1246" s="30"/>
      <c r="N1246" s="30"/>
      <c r="O1246" s="287">
        <f t="shared" si="282"/>
        <v>0</v>
      </c>
      <c r="P1246" s="287">
        <f t="shared" si="283"/>
        <v>0</v>
      </c>
      <c r="Q1246" s="288"/>
      <c r="R1246" s="243"/>
      <c r="S1246" s="385" t="str">
        <f t="shared" si="280"/>
        <v/>
      </c>
    </row>
    <row r="1247" spans="2:19" ht="13.5" hidden="1" thickBot="1">
      <c r="B1247" s="609">
        <v>91937</v>
      </c>
      <c r="C1247" s="610" t="s">
        <v>843</v>
      </c>
      <c r="D1247" s="611" t="s">
        <v>1383</v>
      </c>
      <c r="E1247" s="602"/>
      <c r="F1247" s="603"/>
      <c r="G1247" s="604"/>
      <c r="H1247" s="605"/>
      <c r="I1247" s="675">
        <v>11.19</v>
      </c>
      <c r="J1247" s="675">
        <f t="shared" si="284"/>
        <v>11.19</v>
      </c>
      <c r="K1247" s="606">
        <f t="shared" si="281"/>
        <v>13.58</v>
      </c>
      <c r="L1247" s="389" t="s">
        <v>21</v>
      </c>
      <c r="M1247" s="30"/>
      <c r="N1247" s="30"/>
      <c r="O1247" s="287">
        <f t="shared" si="282"/>
        <v>0</v>
      </c>
      <c r="P1247" s="287">
        <f t="shared" si="283"/>
        <v>0</v>
      </c>
      <c r="Q1247" s="288"/>
      <c r="R1247" s="243"/>
      <c r="S1247" s="385" t="str">
        <f t="shared" si="280"/>
        <v/>
      </c>
    </row>
    <row r="1248" spans="2:19" ht="26.25" hidden="1" thickBot="1">
      <c r="B1248" s="609">
        <v>91939</v>
      </c>
      <c r="C1248" s="610" t="s">
        <v>843</v>
      </c>
      <c r="D1248" s="611" t="s">
        <v>1384</v>
      </c>
      <c r="E1248" s="602"/>
      <c r="F1248" s="603"/>
      <c r="G1248" s="604"/>
      <c r="H1248" s="605"/>
      <c r="I1248" s="675">
        <v>26.45</v>
      </c>
      <c r="J1248" s="675">
        <f t="shared" si="284"/>
        <v>26.45</v>
      </c>
      <c r="K1248" s="606">
        <f t="shared" si="281"/>
        <v>32.1</v>
      </c>
      <c r="L1248" s="389" t="s">
        <v>21</v>
      </c>
      <c r="M1248" s="30"/>
      <c r="N1248" s="30"/>
      <c r="O1248" s="287">
        <f t="shared" si="282"/>
        <v>0</v>
      </c>
      <c r="P1248" s="287">
        <f t="shared" si="283"/>
        <v>0</v>
      </c>
      <c r="Q1248" s="288"/>
      <c r="R1248" s="243"/>
      <c r="S1248" s="385" t="str">
        <f t="shared" si="280"/>
        <v/>
      </c>
    </row>
    <row r="1249" spans="2:19" ht="26.25" hidden="1" thickBot="1">
      <c r="B1249" s="609">
        <v>91940</v>
      </c>
      <c r="C1249" s="610" t="s">
        <v>843</v>
      </c>
      <c r="D1249" s="611" t="s">
        <v>1385</v>
      </c>
      <c r="E1249" s="602"/>
      <c r="F1249" s="603"/>
      <c r="G1249" s="604"/>
      <c r="H1249" s="605"/>
      <c r="I1249" s="675">
        <v>14.2</v>
      </c>
      <c r="J1249" s="675">
        <f t="shared" si="284"/>
        <v>14.2</v>
      </c>
      <c r="K1249" s="606">
        <f t="shared" si="281"/>
        <v>17.23</v>
      </c>
      <c r="L1249" s="389" t="s">
        <v>21</v>
      </c>
      <c r="M1249" s="30"/>
      <c r="N1249" s="30"/>
      <c r="O1249" s="287">
        <f t="shared" si="282"/>
        <v>0</v>
      </c>
      <c r="P1249" s="287">
        <f t="shared" si="283"/>
        <v>0</v>
      </c>
      <c r="Q1249" s="288"/>
      <c r="R1249" s="243"/>
      <c r="S1249" s="385" t="str">
        <f t="shared" si="280"/>
        <v/>
      </c>
    </row>
    <row r="1250" spans="2:19" ht="26.25" hidden="1" thickBot="1">
      <c r="B1250" s="609">
        <v>91941</v>
      </c>
      <c r="C1250" s="610" t="s">
        <v>843</v>
      </c>
      <c r="D1250" s="611" t="s">
        <v>1386</v>
      </c>
      <c r="E1250" s="602"/>
      <c r="F1250" s="603"/>
      <c r="G1250" s="604"/>
      <c r="H1250" s="605"/>
      <c r="I1250" s="675">
        <v>9.61</v>
      </c>
      <c r="J1250" s="675">
        <f t="shared" si="284"/>
        <v>9.61</v>
      </c>
      <c r="K1250" s="606">
        <f t="shared" si="281"/>
        <v>11.66</v>
      </c>
      <c r="L1250" s="389" t="s">
        <v>21</v>
      </c>
      <c r="M1250" s="30"/>
      <c r="N1250" s="30"/>
      <c r="O1250" s="287">
        <f t="shared" si="282"/>
        <v>0</v>
      </c>
      <c r="P1250" s="287">
        <f t="shared" si="283"/>
        <v>0</v>
      </c>
      <c r="Q1250" s="288"/>
      <c r="R1250" s="243"/>
      <c r="S1250" s="385" t="str">
        <f t="shared" si="280"/>
        <v/>
      </c>
    </row>
    <row r="1251" spans="2:19" ht="26.25" hidden="1" thickBot="1">
      <c r="B1251" s="609">
        <v>91942</v>
      </c>
      <c r="C1251" s="610" t="s">
        <v>843</v>
      </c>
      <c r="D1251" s="611" t="s">
        <v>1387</v>
      </c>
      <c r="E1251" s="602"/>
      <c r="F1251" s="603"/>
      <c r="G1251" s="604"/>
      <c r="H1251" s="605"/>
      <c r="I1251" s="675">
        <v>32.700000000000003</v>
      </c>
      <c r="J1251" s="675">
        <f t="shared" si="284"/>
        <v>32.700000000000003</v>
      </c>
      <c r="K1251" s="606">
        <f t="shared" si="281"/>
        <v>39.68</v>
      </c>
      <c r="L1251" s="389" t="s">
        <v>21</v>
      </c>
      <c r="M1251" s="30"/>
      <c r="N1251" s="30"/>
      <c r="O1251" s="287">
        <f t="shared" si="282"/>
        <v>0</v>
      </c>
      <c r="P1251" s="287">
        <f t="shared" si="283"/>
        <v>0</v>
      </c>
      <c r="Q1251" s="288"/>
      <c r="R1251" s="243"/>
      <c r="S1251" s="385" t="str">
        <f t="shared" si="280"/>
        <v/>
      </c>
    </row>
    <row r="1252" spans="2:19" ht="26.25" hidden="1" thickBot="1">
      <c r="B1252" s="609">
        <v>91943</v>
      </c>
      <c r="C1252" s="610" t="s">
        <v>843</v>
      </c>
      <c r="D1252" s="611" t="s">
        <v>1388</v>
      </c>
      <c r="E1252" s="602"/>
      <c r="F1252" s="603"/>
      <c r="G1252" s="604"/>
      <c r="H1252" s="605"/>
      <c r="I1252" s="675">
        <v>18.62</v>
      </c>
      <c r="J1252" s="675">
        <f t="shared" si="284"/>
        <v>18.62</v>
      </c>
      <c r="K1252" s="606">
        <f t="shared" si="281"/>
        <v>22.6</v>
      </c>
      <c r="L1252" s="389" t="s">
        <v>21</v>
      </c>
      <c r="M1252" s="30"/>
      <c r="N1252" s="30"/>
      <c r="O1252" s="287">
        <f t="shared" si="282"/>
        <v>0</v>
      </c>
      <c r="P1252" s="287">
        <f t="shared" si="283"/>
        <v>0</v>
      </c>
      <c r="Q1252" s="288"/>
      <c r="R1252" s="243"/>
      <c r="S1252" s="385" t="str">
        <f t="shared" si="280"/>
        <v/>
      </c>
    </row>
    <row r="1253" spans="2:19" ht="26.25" hidden="1" thickBot="1">
      <c r="B1253" s="609">
        <v>91944</v>
      </c>
      <c r="C1253" s="610" t="s">
        <v>843</v>
      </c>
      <c r="D1253" s="611" t="s">
        <v>1389</v>
      </c>
      <c r="E1253" s="602"/>
      <c r="F1253" s="603"/>
      <c r="G1253" s="604"/>
      <c r="H1253" s="605"/>
      <c r="I1253" s="675">
        <v>13.35</v>
      </c>
      <c r="J1253" s="675">
        <f t="shared" si="284"/>
        <v>13.35</v>
      </c>
      <c r="K1253" s="606">
        <f t="shared" si="281"/>
        <v>16.2</v>
      </c>
      <c r="L1253" s="389" t="s">
        <v>21</v>
      </c>
      <c r="M1253" s="30"/>
      <c r="N1253" s="30"/>
      <c r="O1253" s="287">
        <f t="shared" si="282"/>
        <v>0</v>
      </c>
      <c r="P1253" s="287">
        <f t="shared" si="283"/>
        <v>0</v>
      </c>
      <c r="Q1253" s="288"/>
      <c r="R1253" s="243"/>
      <c r="S1253" s="385" t="str">
        <f t="shared" si="280"/>
        <v/>
      </c>
    </row>
    <row r="1254" spans="2:19" ht="13.5" hidden="1" thickBot="1">
      <c r="B1254" s="609">
        <v>92865</v>
      </c>
      <c r="C1254" s="610" t="s">
        <v>843</v>
      </c>
      <c r="D1254" s="611" t="s">
        <v>1390</v>
      </c>
      <c r="E1254" s="602"/>
      <c r="F1254" s="603"/>
      <c r="G1254" s="604"/>
      <c r="H1254" s="605"/>
      <c r="I1254" s="675">
        <v>10.28</v>
      </c>
      <c r="J1254" s="675">
        <f t="shared" si="284"/>
        <v>10.28</v>
      </c>
      <c r="K1254" s="606">
        <f t="shared" si="281"/>
        <v>12.47</v>
      </c>
      <c r="L1254" s="389" t="s">
        <v>21</v>
      </c>
      <c r="M1254" s="30"/>
      <c r="N1254" s="30"/>
      <c r="O1254" s="287">
        <f t="shared" si="282"/>
        <v>0</v>
      </c>
      <c r="P1254" s="287">
        <f t="shared" si="283"/>
        <v>0</v>
      </c>
      <c r="Q1254" s="288"/>
      <c r="R1254" s="243"/>
      <c r="S1254" s="385" t="str">
        <f t="shared" si="280"/>
        <v/>
      </c>
    </row>
    <row r="1255" spans="2:19" ht="13.5" hidden="1" thickBot="1">
      <c r="B1255" s="609">
        <v>92866</v>
      </c>
      <c r="C1255" s="610" t="s">
        <v>843</v>
      </c>
      <c r="D1255" s="611" t="s">
        <v>1391</v>
      </c>
      <c r="E1255" s="602"/>
      <c r="F1255" s="603"/>
      <c r="G1255" s="604"/>
      <c r="H1255" s="605"/>
      <c r="I1255" s="675">
        <v>8.18</v>
      </c>
      <c r="J1255" s="675">
        <f t="shared" si="284"/>
        <v>8.18</v>
      </c>
      <c r="K1255" s="606">
        <f t="shared" si="281"/>
        <v>9.93</v>
      </c>
      <c r="L1255" s="389" t="s">
        <v>21</v>
      </c>
      <c r="M1255" s="30"/>
      <c r="N1255" s="30"/>
      <c r="O1255" s="287">
        <f t="shared" si="282"/>
        <v>0</v>
      </c>
      <c r="P1255" s="287">
        <f t="shared" si="283"/>
        <v>0</v>
      </c>
      <c r="Q1255" s="288"/>
      <c r="R1255" s="243"/>
      <c r="S1255" s="385" t="str">
        <f t="shared" si="280"/>
        <v/>
      </c>
    </row>
    <row r="1256" spans="2:19" ht="26.25" hidden="1" thickBot="1">
      <c r="B1256" s="609">
        <v>92867</v>
      </c>
      <c r="C1256" s="610" t="s">
        <v>843</v>
      </c>
      <c r="D1256" s="611" t="s">
        <v>1392</v>
      </c>
      <c r="E1256" s="602"/>
      <c r="F1256" s="603"/>
      <c r="G1256" s="604"/>
      <c r="H1256" s="605"/>
      <c r="I1256" s="675">
        <v>25.62</v>
      </c>
      <c r="J1256" s="675">
        <f t="shared" si="284"/>
        <v>25.62</v>
      </c>
      <c r="K1256" s="606">
        <f t="shared" si="281"/>
        <v>31.09</v>
      </c>
      <c r="L1256" s="389" t="s">
        <v>21</v>
      </c>
      <c r="M1256" s="30"/>
      <c r="N1256" s="30"/>
      <c r="O1256" s="287">
        <f t="shared" si="282"/>
        <v>0</v>
      </c>
      <c r="P1256" s="287">
        <f t="shared" si="283"/>
        <v>0</v>
      </c>
      <c r="Q1256" s="288"/>
      <c r="R1256" s="243"/>
      <c r="S1256" s="385" t="str">
        <f t="shared" si="280"/>
        <v/>
      </c>
    </row>
    <row r="1257" spans="2:19" ht="26.25" hidden="1" thickBot="1">
      <c r="B1257" s="609">
        <v>92868</v>
      </c>
      <c r="C1257" s="610" t="s">
        <v>843</v>
      </c>
      <c r="D1257" s="611" t="s">
        <v>1393</v>
      </c>
      <c r="E1257" s="602"/>
      <c r="F1257" s="603"/>
      <c r="G1257" s="604"/>
      <c r="H1257" s="605"/>
      <c r="I1257" s="675">
        <v>13.37</v>
      </c>
      <c r="J1257" s="675">
        <f t="shared" si="284"/>
        <v>13.37</v>
      </c>
      <c r="K1257" s="606">
        <f t="shared" si="281"/>
        <v>16.22</v>
      </c>
      <c r="L1257" s="389" t="s">
        <v>21</v>
      </c>
      <c r="M1257" s="30"/>
      <c r="N1257" s="30"/>
      <c r="O1257" s="287">
        <f t="shared" si="282"/>
        <v>0</v>
      </c>
      <c r="P1257" s="287">
        <f t="shared" si="283"/>
        <v>0</v>
      </c>
      <c r="Q1257" s="288"/>
      <c r="R1257" s="243"/>
      <c r="S1257" s="385" t="str">
        <f t="shared" si="280"/>
        <v/>
      </c>
    </row>
    <row r="1258" spans="2:19" ht="26.25" hidden="1" thickBot="1">
      <c r="B1258" s="609">
        <v>92869</v>
      </c>
      <c r="C1258" s="610" t="s">
        <v>843</v>
      </c>
      <c r="D1258" s="611" t="s">
        <v>1394</v>
      </c>
      <c r="E1258" s="602"/>
      <c r="F1258" s="603"/>
      <c r="G1258" s="604"/>
      <c r="H1258" s="605"/>
      <c r="I1258" s="675">
        <v>8.7799999999999994</v>
      </c>
      <c r="J1258" s="675">
        <f t="shared" si="284"/>
        <v>8.7799999999999994</v>
      </c>
      <c r="K1258" s="606">
        <f t="shared" si="281"/>
        <v>10.65</v>
      </c>
      <c r="L1258" s="389" t="s">
        <v>21</v>
      </c>
      <c r="M1258" s="30"/>
      <c r="N1258" s="30"/>
      <c r="O1258" s="287">
        <f t="shared" si="282"/>
        <v>0</v>
      </c>
      <c r="P1258" s="287">
        <f t="shared" si="283"/>
        <v>0</v>
      </c>
      <c r="Q1258" s="288"/>
      <c r="R1258" s="243"/>
      <c r="S1258" s="385" t="str">
        <f t="shared" si="280"/>
        <v/>
      </c>
    </row>
    <row r="1259" spans="2:19" ht="26.25" hidden="1" thickBot="1">
      <c r="B1259" s="609">
        <v>92870</v>
      </c>
      <c r="C1259" s="610" t="s">
        <v>843</v>
      </c>
      <c r="D1259" s="611" t="s">
        <v>1395</v>
      </c>
      <c r="E1259" s="602"/>
      <c r="F1259" s="603"/>
      <c r="G1259" s="604"/>
      <c r="H1259" s="605"/>
      <c r="I1259" s="675">
        <v>31.26</v>
      </c>
      <c r="J1259" s="675">
        <f t="shared" si="284"/>
        <v>31.26</v>
      </c>
      <c r="K1259" s="606">
        <f t="shared" si="281"/>
        <v>37.93</v>
      </c>
      <c r="L1259" s="389" t="s">
        <v>21</v>
      </c>
      <c r="M1259" s="30"/>
      <c r="N1259" s="30"/>
      <c r="O1259" s="287">
        <f t="shared" si="282"/>
        <v>0</v>
      </c>
      <c r="P1259" s="287">
        <f t="shared" si="283"/>
        <v>0</v>
      </c>
      <c r="Q1259" s="288"/>
      <c r="R1259" s="243"/>
      <c r="S1259" s="385" t="str">
        <f t="shared" si="280"/>
        <v/>
      </c>
    </row>
    <row r="1260" spans="2:19" ht="26.25" hidden="1" thickBot="1">
      <c r="B1260" s="609">
        <v>92871</v>
      </c>
      <c r="C1260" s="610" t="s">
        <v>843</v>
      </c>
      <c r="D1260" s="611" t="s">
        <v>1396</v>
      </c>
      <c r="E1260" s="602"/>
      <c r="F1260" s="603"/>
      <c r="G1260" s="604"/>
      <c r="H1260" s="605"/>
      <c r="I1260" s="675">
        <v>17.18</v>
      </c>
      <c r="J1260" s="675">
        <f t="shared" si="284"/>
        <v>17.18</v>
      </c>
      <c r="K1260" s="606">
        <f t="shared" si="281"/>
        <v>20.85</v>
      </c>
      <c r="L1260" s="389" t="s">
        <v>21</v>
      </c>
      <c r="M1260" s="30"/>
      <c r="N1260" s="30"/>
      <c r="O1260" s="287">
        <f t="shared" si="282"/>
        <v>0</v>
      </c>
      <c r="P1260" s="287">
        <f t="shared" si="283"/>
        <v>0</v>
      </c>
      <c r="Q1260" s="288"/>
      <c r="R1260" s="243"/>
      <c r="S1260" s="385" t="str">
        <f t="shared" si="280"/>
        <v/>
      </c>
    </row>
    <row r="1261" spans="2:19" ht="26.25" hidden="1" thickBot="1">
      <c r="B1261" s="609">
        <v>92872</v>
      </c>
      <c r="C1261" s="610" t="s">
        <v>843</v>
      </c>
      <c r="D1261" s="611" t="s">
        <v>1397</v>
      </c>
      <c r="E1261" s="602"/>
      <c r="F1261" s="603"/>
      <c r="G1261" s="604"/>
      <c r="H1261" s="605"/>
      <c r="I1261" s="675">
        <v>11.91</v>
      </c>
      <c r="J1261" s="675">
        <f t="shared" si="284"/>
        <v>11.91</v>
      </c>
      <c r="K1261" s="606">
        <f t="shared" si="281"/>
        <v>14.45</v>
      </c>
      <c r="L1261" s="389" t="s">
        <v>21</v>
      </c>
      <c r="M1261" s="30"/>
      <c r="N1261" s="30"/>
      <c r="O1261" s="287">
        <f t="shared" si="282"/>
        <v>0</v>
      </c>
      <c r="P1261" s="287">
        <f t="shared" si="283"/>
        <v>0</v>
      </c>
      <c r="Q1261" s="288"/>
      <c r="R1261" s="243"/>
      <c r="S1261" s="385" t="str">
        <f t="shared" si="280"/>
        <v/>
      </c>
    </row>
    <row r="1262" spans="2:19" ht="26.25" hidden="1" thickBot="1">
      <c r="B1262" s="609">
        <v>97886</v>
      </c>
      <c r="C1262" s="610" t="s">
        <v>843</v>
      </c>
      <c r="D1262" s="611" t="s">
        <v>1398</v>
      </c>
      <c r="E1262" s="602"/>
      <c r="F1262" s="603"/>
      <c r="G1262" s="604"/>
      <c r="H1262" s="605"/>
      <c r="I1262" s="675">
        <v>156.82</v>
      </c>
      <c r="J1262" s="675">
        <f t="shared" si="284"/>
        <v>156.82</v>
      </c>
      <c r="K1262" s="606">
        <f t="shared" si="281"/>
        <v>190.3</v>
      </c>
      <c r="L1262" s="389" t="s">
        <v>21</v>
      </c>
      <c r="M1262" s="30"/>
      <c r="N1262" s="30"/>
      <c r="O1262" s="287">
        <f t="shared" si="282"/>
        <v>0</v>
      </c>
      <c r="P1262" s="287">
        <f t="shared" si="283"/>
        <v>0</v>
      </c>
      <c r="Q1262" s="288"/>
      <c r="R1262" s="243"/>
      <c r="S1262" s="385" t="str">
        <f t="shared" si="280"/>
        <v/>
      </c>
    </row>
    <row r="1263" spans="2:19" ht="26.25" hidden="1" thickBot="1">
      <c r="B1263" s="609">
        <v>97887</v>
      </c>
      <c r="C1263" s="610" t="s">
        <v>843</v>
      </c>
      <c r="D1263" s="611" t="s">
        <v>1399</v>
      </c>
      <c r="E1263" s="602"/>
      <c r="F1263" s="603"/>
      <c r="G1263" s="604"/>
      <c r="H1263" s="605"/>
      <c r="I1263" s="675">
        <v>248.16</v>
      </c>
      <c r="J1263" s="675">
        <f t="shared" si="284"/>
        <v>248.16</v>
      </c>
      <c r="K1263" s="606">
        <f t="shared" si="281"/>
        <v>301.14</v>
      </c>
      <c r="L1263" s="389" t="s">
        <v>21</v>
      </c>
      <c r="M1263" s="30"/>
      <c r="N1263" s="30"/>
      <c r="O1263" s="287">
        <f t="shared" si="282"/>
        <v>0</v>
      </c>
      <c r="P1263" s="287">
        <f t="shared" si="283"/>
        <v>0</v>
      </c>
      <c r="Q1263" s="288"/>
      <c r="R1263" s="243"/>
      <c r="S1263" s="385" t="str">
        <f t="shared" si="280"/>
        <v/>
      </c>
    </row>
    <row r="1264" spans="2:19" ht="26.25" hidden="1" thickBot="1">
      <c r="B1264" s="609">
        <v>97888</v>
      </c>
      <c r="C1264" s="610" t="s">
        <v>843</v>
      </c>
      <c r="D1264" s="611" t="s">
        <v>1400</v>
      </c>
      <c r="E1264" s="602"/>
      <c r="F1264" s="603"/>
      <c r="G1264" s="604"/>
      <c r="H1264" s="605"/>
      <c r="I1264" s="675">
        <v>479.56</v>
      </c>
      <c r="J1264" s="675">
        <f t="shared" si="284"/>
        <v>479.56</v>
      </c>
      <c r="K1264" s="606">
        <f t="shared" si="281"/>
        <v>581.95000000000005</v>
      </c>
      <c r="L1264" s="389" t="s">
        <v>21</v>
      </c>
      <c r="M1264" s="30"/>
      <c r="N1264" s="30"/>
      <c r="O1264" s="287">
        <f t="shared" si="282"/>
        <v>0</v>
      </c>
      <c r="P1264" s="287">
        <f t="shared" si="283"/>
        <v>0</v>
      </c>
      <c r="Q1264" s="288"/>
      <c r="R1264" s="243"/>
      <c r="S1264" s="385" t="str">
        <f t="shared" si="280"/>
        <v/>
      </c>
    </row>
    <row r="1265" spans="2:19" ht="26.25" hidden="1" thickBot="1">
      <c r="B1265" s="609">
        <v>97889</v>
      </c>
      <c r="C1265" s="610" t="s">
        <v>843</v>
      </c>
      <c r="D1265" s="611" t="s">
        <v>1401</v>
      </c>
      <c r="E1265" s="602"/>
      <c r="F1265" s="603"/>
      <c r="G1265" s="604"/>
      <c r="H1265" s="605"/>
      <c r="I1265" s="675">
        <v>642.05999999999995</v>
      </c>
      <c r="J1265" s="675">
        <f t="shared" si="284"/>
        <v>642.05999999999995</v>
      </c>
      <c r="K1265" s="606">
        <f t="shared" si="281"/>
        <v>779.14</v>
      </c>
      <c r="L1265" s="389" t="s">
        <v>21</v>
      </c>
      <c r="M1265" s="30"/>
      <c r="N1265" s="30"/>
      <c r="O1265" s="287">
        <f t="shared" si="282"/>
        <v>0</v>
      </c>
      <c r="P1265" s="287">
        <f t="shared" si="283"/>
        <v>0</v>
      </c>
      <c r="Q1265" s="288"/>
      <c r="R1265" s="243"/>
      <c r="S1265" s="385" t="str">
        <f t="shared" si="280"/>
        <v/>
      </c>
    </row>
    <row r="1266" spans="2:19" ht="26.25" hidden="1" thickBot="1">
      <c r="B1266" s="609">
        <v>97890</v>
      </c>
      <c r="C1266" s="610" t="s">
        <v>843</v>
      </c>
      <c r="D1266" s="611" t="s">
        <v>1402</v>
      </c>
      <c r="E1266" s="602"/>
      <c r="F1266" s="603"/>
      <c r="G1266" s="604"/>
      <c r="H1266" s="605"/>
      <c r="I1266" s="675">
        <v>736.45</v>
      </c>
      <c r="J1266" s="675">
        <f t="shared" si="284"/>
        <v>736.45</v>
      </c>
      <c r="K1266" s="606">
        <f t="shared" si="281"/>
        <v>893.68</v>
      </c>
      <c r="L1266" s="389" t="s">
        <v>21</v>
      </c>
      <c r="M1266" s="30"/>
      <c r="N1266" s="30"/>
      <c r="O1266" s="287">
        <f t="shared" si="282"/>
        <v>0</v>
      </c>
      <c r="P1266" s="287">
        <f t="shared" si="283"/>
        <v>0</v>
      </c>
      <c r="Q1266" s="288"/>
      <c r="R1266" s="243"/>
      <c r="S1266" s="385" t="str">
        <f t="shared" si="280"/>
        <v/>
      </c>
    </row>
    <row r="1267" spans="2:19" ht="26.25" hidden="1" thickBot="1">
      <c r="B1267" s="609">
        <v>97933</v>
      </c>
      <c r="C1267" s="610" t="s">
        <v>843</v>
      </c>
      <c r="D1267" s="611" t="s">
        <v>1403</v>
      </c>
      <c r="E1267" s="602"/>
      <c r="F1267" s="603"/>
      <c r="G1267" s="604"/>
      <c r="H1267" s="605"/>
      <c r="I1267" s="675">
        <v>508</v>
      </c>
      <c r="J1267" s="675">
        <f t="shared" si="284"/>
        <v>508</v>
      </c>
      <c r="K1267" s="606">
        <f t="shared" si="281"/>
        <v>616.46</v>
      </c>
      <c r="L1267" s="389" t="s">
        <v>21</v>
      </c>
      <c r="M1267" s="30"/>
      <c r="N1267" s="30"/>
      <c r="O1267" s="287">
        <f t="shared" si="282"/>
        <v>0</v>
      </c>
      <c r="P1267" s="287">
        <f t="shared" si="283"/>
        <v>0</v>
      </c>
      <c r="Q1267" s="288"/>
      <c r="R1267" s="243"/>
      <c r="S1267" s="385" t="str">
        <f t="shared" si="280"/>
        <v/>
      </c>
    </row>
    <row r="1268" spans="2:19" ht="26.25" hidden="1" thickBot="1">
      <c r="B1268" s="609">
        <v>97947</v>
      </c>
      <c r="C1268" s="610" t="s">
        <v>843</v>
      </c>
      <c r="D1268" s="611" t="s">
        <v>1404</v>
      </c>
      <c r="E1268" s="602"/>
      <c r="F1268" s="603"/>
      <c r="G1268" s="604"/>
      <c r="H1268" s="605"/>
      <c r="I1268" s="675">
        <v>1283.68</v>
      </c>
      <c r="J1268" s="675">
        <f t="shared" si="284"/>
        <v>1283.68</v>
      </c>
      <c r="K1268" s="606">
        <f t="shared" si="281"/>
        <v>1557.75</v>
      </c>
      <c r="L1268" s="389" t="s">
        <v>21</v>
      </c>
      <c r="M1268" s="30"/>
      <c r="N1268" s="30"/>
      <c r="O1268" s="287">
        <f t="shared" si="282"/>
        <v>0</v>
      </c>
      <c r="P1268" s="287">
        <f t="shared" si="283"/>
        <v>0</v>
      </c>
      <c r="Q1268" s="288"/>
      <c r="R1268" s="243"/>
      <c r="S1268" s="385" t="str">
        <f t="shared" si="280"/>
        <v/>
      </c>
    </row>
    <row r="1269" spans="2:19" ht="26.25" hidden="1" thickBot="1">
      <c r="B1269" s="609">
        <v>97948</v>
      </c>
      <c r="C1269" s="610" t="s">
        <v>843</v>
      </c>
      <c r="D1269" s="611" t="s">
        <v>1405</v>
      </c>
      <c r="E1269" s="602"/>
      <c r="F1269" s="603"/>
      <c r="G1269" s="604"/>
      <c r="H1269" s="605"/>
      <c r="I1269" s="675">
        <v>2358.87</v>
      </c>
      <c r="J1269" s="675">
        <f t="shared" si="284"/>
        <v>2358.87</v>
      </c>
      <c r="K1269" s="606">
        <f t="shared" si="281"/>
        <v>2862.49</v>
      </c>
      <c r="L1269" s="389" t="s">
        <v>21</v>
      </c>
      <c r="M1269" s="30"/>
      <c r="N1269" s="30"/>
      <c r="O1269" s="287">
        <f t="shared" si="282"/>
        <v>0</v>
      </c>
      <c r="P1269" s="287">
        <f t="shared" si="283"/>
        <v>0</v>
      </c>
      <c r="Q1269" s="288"/>
      <c r="R1269" s="243"/>
      <c r="S1269" s="385" t="str">
        <f t="shared" si="280"/>
        <v/>
      </c>
    </row>
    <row r="1270" spans="2:19" ht="26.25" hidden="1" thickBot="1">
      <c r="B1270" s="609">
        <v>97953</v>
      </c>
      <c r="C1270" s="610" t="s">
        <v>843</v>
      </c>
      <c r="D1270" s="611" t="s">
        <v>1406</v>
      </c>
      <c r="E1270" s="602"/>
      <c r="F1270" s="603"/>
      <c r="G1270" s="604"/>
      <c r="H1270" s="605"/>
      <c r="I1270" s="675">
        <v>895.57</v>
      </c>
      <c r="J1270" s="675">
        <f t="shared" si="284"/>
        <v>895.57</v>
      </c>
      <c r="K1270" s="606">
        <f t="shared" si="281"/>
        <v>1086.77</v>
      </c>
      <c r="L1270" s="389" t="s">
        <v>21</v>
      </c>
      <c r="M1270" s="30"/>
      <c r="N1270" s="30"/>
      <c r="O1270" s="287">
        <f t="shared" si="282"/>
        <v>0</v>
      </c>
      <c r="P1270" s="287">
        <f t="shared" si="283"/>
        <v>0</v>
      </c>
      <c r="Q1270" s="288"/>
      <c r="R1270" s="243"/>
      <c r="S1270" s="385" t="str">
        <f t="shared" si="280"/>
        <v/>
      </c>
    </row>
    <row r="1271" spans="2:19" ht="26.25" hidden="1" thickBot="1">
      <c r="B1271" s="609">
        <v>97955</v>
      </c>
      <c r="C1271" s="610" t="s">
        <v>843</v>
      </c>
      <c r="D1271" s="611" t="s">
        <v>1407</v>
      </c>
      <c r="E1271" s="602"/>
      <c r="F1271" s="603"/>
      <c r="G1271" s="604"/>
      <c r="H1271" s="605"/>
      <c r="I1271" s="675">
        <v>1981.76</v>
      </c>
      <c r="J1271" s="675">
        <f t="shared" si="284"/>
        <v>1981.76</v>
      </c>
      <c r="K1271" s="606">
        <f t="shared" si="281"/>
        <v>2404.87</v>
      </c>
      <c r="L1271" s="389" t="s">
        <v>21</v>
      </c>
      <c r="M1271" s="30"/>
      <c r="N1271" s="30"/>
      <c r="O1271" s="287">
        <f t="shared" si="282"/>
        <v>0</v>
      </c>
      <c r="P1271" s="287">
        <f t="shared" si="283"/>
        <v>0</v>
      </c>
      <c r="Q1271" s="288"/>
      <c r="R1271" s="243"/>
      <c r="S1271" s="385" t="str">
        <f t="shared" si="280"/>
        <v/>
      </c>
    </row>
    <row r="1272" spans="2:19" ht="26.25" hidden="1" thickBot="1">
      <c r="B1272" s="609">
        <v>97891</v>
      </c>
      <c r="C1272" s="610" t="s">
        <v>843</v>
      </c>
      <c r="D1272" s="611" t="s">
        <v>1408</v>
      </c>
      <c r="E1272" s="602"/>
      <c r="F1272" s="603"/>
      <c r="G1272" s="604"/>
      <c r="H1272" s="605"/>
      <c r="I1272" s="675">
        <v>179.04</v>
      </c>
      <c r="J1272" s="675">
        <f t="shared" si="284"/>
        <v>179.04</v>
      </c>
      <c r="K1272" s="606">
        <f t="shared" si="281"/>
        <v>217.27</v>
      </c>
      <c r="L1272" s="389" t="s">
        <v>21</v>
      </c>
      <c r="M1272" s="30"/>
      <c r="N1272" s="30"/>
      <c r="O1272" s="287">
        <f t="shared" si="282"/>
        <v>0</v>
      </c>
      <c r="P1272" s="287">
        <f t="shared" si="283"/>
        <v>0</v>
      </c>
      <c r="Q1272" s="288"/>
      <c r="R1272" s="243"/>
      <c r="S1272" s="385" t="str">
        <f t="shared" si="280"/>
        <v/>
      </c>
    </row>
    <row r="1273" spans="2:19" ht="26.25" hidden="1" thickBot="1">
      <c r="B1273" s="609">
        <v>97892</v>
      </c>
      <c r="C1273" s="610" t="s">
        <v>843</v>
      </c>
      <c r="D1273" s="611" t="s">
        <v>1409</v>
      </c>
      <c r="E1273" s="602"/>
      <c r="F1273" s="603"/>
      <c r="G1273" s="604"/>
      <c r="H1273" s="605"/>
      <c r="I1273" s="675">
        <v>333.44</v>
      </c>
      <c r="J1273" s="675">
        <f t="shared" si="284"/>
        <v>333.44</v>
      </c>
      <c r="K1273" s="606">
        <f t="shared" si="281"/>
        <v>404.63</v>
      </c>
      <c r="L1273" s="389" t="s">
        <v>21</v>
      </c>
      <c r="M1273" s="30"/>
      <c r="N1273" s="30"/>
      <c r="O1273" s="287">
        <f t="shared" si="282"/>
        <v>0</v>
      </c>
      <c r="P1273" s="287">
        <f t="shared" si="283"/>
        <v>0</v>
      </c>
      <c r="Q1273" s="288"/>
      <c r="R1273" s="243"/>
      <c r="S1273" s="385" t="str">
        <f t="shared" si="280"/>
        <v/>
      </c>
    </row>
    <row r="1274" spans="2:19" ht="26.25" hidden="1" thickBot="1">
      <c r="B1274" s="609">
        <v>97893</v>
      </c>
      <c r="C1274" s="610" t="s">
        <v>843</v>
      </c>
      <c r="D1274" s="611" t="s">
        <v>1410</v>
      </c>
      <c r="E1274" s="602"/>
      <c r="F1274" s="603"/>
      <c r="G1274" s="604"/>
      <c r="H1274" s="605"/>
      <c r="I1274" s="675">
        <v>455.74</v>
      </c>
      <c r="J1274" s="675">
        <f t="shared" si="284"/>
        <v>455.74</v>
      </c>
      <c r="K1274" s="606">
        <f t="shared" si="281"/>
        <v>553.04</v>
      </c>
      <c r="L1274" s="389" t="s">
        <v>21</v>
      </c>
      <c r="M1274" s="30"/>
      <c r="N1274" s="30"/>
      <c r="O1274" s="287">
        <f t="shared" si="282"/>
        <v>0</v>
      </c>
      <c r="P1274" s="287">
        <f t="shared" si="283"/>
        <v>0</v>
      </c>
      <c r="Q1274" s="288"/>
      <c r="R1274" s="243"/>
      <c r="S1274" s="385" t="str">
        <f t="shared" si="280"/>
        <v/>
      </c>
    </row>
    <row r="1275" spans="2:19" ht="26.25" hidden="1" thickBot="1">
      <c r="B1275" s="609">
        <v>97894</v>
      </c>
      <c r="C1275" s="610" t="s">
        <v>843</v>
      </c>
      <c r="D1275" s="611" t="s">
        <v>1411</v>
      </c>
      <c r="E1275" s="602"/>
      <c r="F1275" s="603"/>
      <c r="G1275" s="604"/>
      <c r="H1275" s="605"/>
      <c r="I1275" s="675">
        <v>510.67</v>
      </c>
      <c r="J1275" s="675">
        <f t="shared" si="284"/>
        <v>510.67</v>
      </c>
      <c r="K1275" s="606">
        <f t="shared" si="281"/>
        <v>619.70000000000005</v>
      </c>
      <c r="L1275" s="389" t="s">
        <v>21</v>
      </c>
      <c r="M1275" s="30"/>
      <c r="N1275" s="30"/>
      <c r="O1275" s="287">
        <f t="shared" si="282"/>
        <v>0</v>
      </c>
      <c r="P1275" s="287">
        <f t="shared" si="283"/>
        <v>0</v>
      </c>
      <c r="Q1275" s="288"/>
      <c r="R1275" s="243"/>
      <c r="S1275" s="385" t="str">
        <f t="shared" si="280"/>
        <v/>
      </c>
    </row>
    <row r="1276" spans="2:19" ht="26.25" hidden="1" thickBot="1">
      <c r="B1276" s="609">
        <v>97881</v>
      </c>
      <c r="C1276" s="610" t="s">
        <v>843</v>
      </c>
      <c r="D1276" s="611" t="s">
        <v>1412</v>
      </c>
      <c r="E1276" s="602"/>
      <c r="F1276" s="603"/>
      <c r="G1276" s="604"/>
      <c r="H1276" s="605"/>
      <c r="I1276" s="675">
        <v>79.209999999999994</v>
      </c>
      <c r="J1276" s="675">
        <f t="shared" si="284"/>
        <v>79.209999999999994</v>
      </c>
      <c r="K1276" s="606">
        <f t="shared" si="281"/>
        <v>96.12</v>
      </c>
      <c r="L1276" s="389" t="s">
        <v>21</v>
      </c>
      <c r="M1276" s="30"/>
      <c r="N1276" s="30"/>
      <c r="O1276" s="287">
        <f t="shared" si="282"/>
        <v>0</v>
      </c>
      <c r="P1276" s="287">
        <f t="shared" si="283"/>
        <v>0</v>
      </c>
      <c r="Q1276" s="288"/>
      <c r="R1276" s="243"/>
      <c r="S1276" s="385" t="str">
        <f t="shared" ref="S1276:S1339" si="285">IF(R1276="x","x",IF(R1276="y","x",IF(R1276="xy","x",IF(P1276&gt;0,"x",""))))</f>
        <v/>
      </c>
    </row>
    <row r="1277" spans="2:19" ht="26.25" hidden="1" thickBot="1">
      <c r="B1277" s="609">
        <v>97882</v>
      </c>
      <c r="C1277" s="610" t="s">
        <v>843</v>
      </c>
      <c r="D1277" s="611" t="s">
        <v>1413</v>
      </c>
      <c r="E1277" s="602"/>
      <c r="F1277" s="603"/>
      <c r="G1277" s="604"/>
      <c r="H1277" s="605"/>
      <c r="I1277" s="675">
        <v>121.11</v>
      </c>
      <c r="J1277" s="675">
        <f t="shared" si="284"/>
        <v>121.11</v>
      </c>
      <c r="K1277" s="606">
        <f t="shared" si="281"/>
        <v>146.97</v>
      </c>
      <c r="L1277" s="389" t="s">
        <v>21</v>
      </c>
      <c r="M1277" s="30"/>
      <c r="N1277" s="30"/>
      <c r="O1277" s="287">
        <f t="shared" si="282"/>
        <v>0</v>
      </c>
      <c r="P1277" s="287">
        <f t="shared" si="283"/>
        <v>0</v>
      </c>
      <c r="Q1277" s="288"/>
      <c r="R1277" s="243"/>
      <c r="S1277" s="385" t="str">
        <f t="shared" si="285"/>
        <v/>
      </c>
    </row>
    <row r="1278" spans="2:19" ht="26.25" hidden="1" thickBot="1">
      <c r="B1278" s="609">
        <v>97883</v>
      </c>
      <c r="C1278" s="610" t="s">
        <v>843</v>
      </c>
      <c r="D1278" s="611" t="s">
        <v>1414</v>
      </c>
      <c r="E1278" s="602"/>
      <c r="F1278" s="603"/>
      <c r="G1278" s="604"/>
      <c r="H1278" s="605"/>
      <c r="I1278" s="675">
        <v>228.79</v>
      </c>
      <c r="J1278" s="675">
        <f t="shared" si="284"/>
        <v>228.79</v>
      </c>
      <c r="K1278" s="606">
        <f t="shared" si="281"/>
        <v>277.64</v>
      </c>
      <c r="L1278" s="389" t="s">
        <v>21</v>
      </c>
      <c r="M1278" s="30"/>
      <c r="N1278" s="30"/>
      <c r="O1278" s="287">
        <f t="shared" si="282"/>
        <v>0</v>
      </c>
      <c r="P1278" s="287">
        <f t="shared" si="283"/>
        <v>0</v>
      </c>
      <c r="Q1278" s="288"/>
      <c r="R1278" s="243"/>
      <c r="S1278" s="385" t="str">
        <f t="shared" si="285"/>
        <v/>
      </c>
    </row>
    <row r="1279" spans="2:19" ht="26.25" hidden="1" thickBot="1">
      <c r="B1279" s="609">
        <v>97884</v>
      </c>
      <c r="C1279" s="610" t="s">
        <v>843</v>
      </c>
      <c r="D1279" s="611" t="s">
        <v>1415</v>
      </c>
      <c r="E1279" s="602"/>
      <c r="F1279" s="603"/>
      <c r="G1279" s="604"/>
      <c r="H1279" s="605"/>
      <c r="I1279" s="675">
        <v>433.56</v>
      </c>
      <c r="J1279" s="675">
        <f t="shared" si="284"/>
        <v>433.56</v>
      </c>
      <c r="K1279" s="606">
        <f t="shared" si="281"/>
        <v>526.13</v>
      </c>
      <c r="L1279" s="389" t="s">
        <v>21</v>
      </c>
      <c r="M1279" s="30"/>
      <c r="N1279" s="30"/>
      <c r="O1279" s="287">
        <f t="shared" si="282"/>
        <v>0</v>
      </c>
      <c r="P1279" s="287">
        <f t="shared" si="283"/>
        <v>0</v>
      </c>
      <c r="Q1279" s="288"/>
      <c r="R1279" s="243"/>
      <c r="S1279" s="385" t="str">
        <f t="shared" si="285"/>
        <v/>
      </c>
    </row>
    <row r="1280" spans="2:19" ht="26.25" hidden="1" thickBot="1">
      <c r="B1280" s="609">
        <v>97885</v>
      </c>
      <c r="C1280" s="610" t="s">
        <v>843</v>
      </c>
      <c r="D1280" s="611" t="s">
        <v>1416</v>
      </c>
      <c r="E1280" s="602"/>
      <c r="F1280" s="603"/>
      <c r="G1280" s="604"/>
      <c r="H1280" s="605"/>
      <c r="I1280" s="675">
        <v>665.31</v>
      </c>
      <c r="J1280" s="675">
        <f t="shared" si="284"/>
        <v>665.31</v>
      </c>
      <c r="K1280" s="606">
        <f t="shared" si="281"/>
        <v>807.35</v>
      </c>
      <c r="L1280" s="389" t="s">
        <v>21</v>
      </c>
      <c r="M1280" s="30"/>
      <c r="N1280" s="30"/>
      <c r="O1280" s="287">
        <f t="shared" si="282"/>
        <v>0</v>
      </c>
      <c r="P1280" s="287">
        <f t="shared" si="283"/>
        <v>0</v>
      </c>
      <c r="Q1280" s="288"/>
      <c r="R1280" s="243"/>
      <c r="S1280" s="385" t="str">
        <f t="shared" si="285"/>
        <v/>
      </c>
    </row>
    <row r="1281" spans="2:19" ht="26.25" hidden="1" thickBot="1">
      <c r="B1281" s="609">
        <v>91945</v>
      </c>
      <c r="C1281" s="610" t="s">
        <v>843</v>
      </c>
      <c r="D1281" s="611" t="s">
        <v>1417</v>
      </c>
      <c r="E1281" s="602"/>
      <c r="F1281" s="603"/>
      <c r="G1281" s="604"/>
      <c r="H1281" s="605"/>
      <c r="I1281" s="675">
        <v>9.19</v>
      </c>
      <c r="J1281" s="675">
        <f t="shared" si="284"/>
        <v>9.19</v>
      </c>
      <c r="K1281" s="606">
        <f t="shared" si="281"/>
        <v>11.15</v>
      </c>
      <c r="L1281" s="389" t="s">
        <v>21</v>
      </c>
      <c r="M1281" s="30"/>
      <c r="N1281" s="30"/>
      <c r="O1281" s="287">
        <f t="shared" si="282"/>
        <v>0</v>
      </c>
      <c r="P1281" s="287">
        <f t="shared" si="283"/>
        <v>0</v>
      </c>
      <c r="Q1281" s="288"/>
      <c r="R1281" s="243"/>
      <c r="S1281" s="385" t="str">
        <f t="shared" si="285"/>
        <v/>
      </c>
    </row>
    <row r="1282" spans="2:19" ht="26.25" hidden="1" thickBot="1">
      <c r="B1282" s="609">
        <v>91946</v>
      </c>
      <c r="C1282" s="610" t="s">
        <v>843</v>
      </c>
      <c r="D1282" s="611" t="s">
        <v>1418</v>
      </c>
      <c r="E1282" s="602"/>
      <c r="F1282" s="603"/>
      <c r="G1282" s="604"/>
      <c r="H1282" s="605"/>
      <c r="I1282" s="675">
        <v>7.72</v>
      </c>
      <c r="J1282" s="675">
        <f t="shared" si="284"/>
        <v>7.72</v>
      </c>
      <c r="K1282" s="606">
        <f t="shared" si="281"/>
        <v>9.3699999999999992</v>
      </c>
      <c r="L1282" s="389" t="s">
        <v>21</v>
      </c>
      <c r="M1282" s="30"/>
      <c r="N1282" s="30"/>
      <c r="O1282" s="287">
        <f t="shared" si="282"/>
        <v>0</v>
      </c>
      <c r="P1282" s="287">
        <f t="shared" si="283"/>
        <v>0</v>
      </c>
      <c r="Q1282" s="288"/>
      <c r="R1282" s="243"/>
      <c r="S1282" s="385" t="str">
        <f t="shared" si="285"/>
        <v/>
      </c>
    </row>
    <row r="1283" spans="2:19" ht="26.25" hidden="1" thickBot="1">
      <c r="B1283" s="609">
        <v>91947</v>
      </c>
      <c r="C1283" s="610" t="s">
        <v>843</v>
      </c>
      <c r="D1283" s="611" t="s">
        <v>1419</v>
      </c>
      <c r="E1283" s="602"/>
      <c r="F1283" s="603"/>
      <c r="G1283" s="604"/>
      <c r="H1283" s="605"/>
      <c r="I1283" s="675">
        <v>6.8</v>
      </c>
      <c r="J1283" s="675">
        <f t="shared" si="284"/>
        <v>6.8</v>
      </c>
      <c r="K1283" s="606">
        <f t="shared" si="281"/>
        <v>8.25</v>
      </c>
      <c r="L1283" s="389" t="s">
        <v>21</v>
      </c>
      <c r="M1283" s="30"/>
      <c r="N1283" s="30"/>
      <c r="O1283" s="287">
        <f t="shared" si="282"/>
        <v>0</v>
      </c>
      <c r="P1283" s="287">
        <f t="shared" si="283"/>
        <v>0</v>
      </c>
      <c r="Q1283" s="288"/>
      <c r="R1283" s="243"/>
      <c r="S1283" s="385" t="str">
        <f t="shared" si="285"/>
        <v/>
      </c>
    </row>
    <row r="1284" spans="2:19" ht="26.25" hidden="1" thickBot="1">
      <c r="B1284" s="609">
        <v>91949</v>
      </c>
      <c r="C1284" s="610" t="s">
        <v>843</v>
      </c>
      <c r="D1284" s="611" t="s">
        <v>1420</v>
      </c>
      <c r="E1284" s="602"/>
      <c r="F1284" s="603"/>
      <c r="G1284" s="604"/>
      <c r="H1284" s="605"/>
      <c r="I1284" s="675">
        <v>14.15</v>
      </c>
      <c r="J1284" s="675">
        <f t="shared" si="284"/>
        <v>14.15</v>
      </c>
      <c r="K1284" s="606">
        <f t="shared" si="281"/>
        <v>17.170000000000002</v>
      </c>
      <c r="L1284" s="389" t="s">
        <v>21</v>
      </c>
      <c r="M1284" s="30"/>
      <c r="N1284" s="30"/>
      <c r="O1284" s="287">
        <f t="shared" si="282"/>
        <v>0</v>
      </c>
      <c r="P1284" s="287">
        <f t="shared" si="283"/>
        <v>0</v>
      </c>
      <c r="Q1284" s="288"/>
      <c r="R1284" s="243"/>
      <c r="S1284" s="385" t="str">
        <f t="shared" si="285"/>
        <v/>
      </c>
    </row>
    <row r="1285" spans="2:19" ht="26.25" hidden="1" thickBot="1">
      <c r="B1285" s="609">
        <v>91950</v>
      </c>
      <c r="C1285" s="610" t="s">
        <v>843</v>
      </c>
      <c r="D1285" s="611" t="s">
        <v>1421</v>
      </c>
      <c r="E1285" s="602"/>
      <c r="F1285" s="603"/>
      <c r="G1285" s="604"/>
      <c r="H1285" s="605"/>
      <c r="I1285" s="675">
        <v>12.37</v>
      </c>
      <c r="J1285" s="675">
        <f t="shared" si="284"/>
        <v>12.37</v>
      </c>
      <c r="K1285" s="606">
        <f t="shared" si="281"/>
        <v>15.01</v>
      </c>
      <c r="L1285" s="389" t="s">
        <v>21</v>
      </c>
      <c r="M1285" s="30"/>
      <c r="N1285" s="30"/>
      <c r="O1285" s="287">
        <f t="shared" si="282"/>
        <v>0</v>
      </c>
      <c r="P1285" s="287">
        <f t="shared" si="283"/>
        <v>0</v>
      </c>
      <c r="Q1285" s="288"/>
      <c r="R1285" s="243"/>
      <c r="S1285" s="385" t="str">
        <f t="shared" si="285"/>
        <v/>
      </c>
    </row>
    <row r="1286" spans="2:19" ht="26.25" hidden="1" thickBot="1">
      <c r="B1286" s="609">
        <v>91951</v>
      </c>
      <c r="C1286" s="610" t="s">
        <v>843</v>
      </c>
      <c r="D1286" s="611" t="s">
        <v>1422</v>
      </c>
      <c r="E1286" s="602"/>
      <c r="F1286" s="603"/>
      <c r="G1286" s="604"/>
      <c r="H1286" s="605"/>
      <c r="I1286" s="675">
        <v>11.3</v>
      </c>
      <c r="J1286" s="675">
        <f t="shared" si="284"/>
        <v>11.3</v>
      </c>
      <c r="K1286" s="606">
        <f t="shared" si="281"/>
        <v>13.71</v>
      </c>
      <c r="L1286" s="389" t="s">
        <v>21</v>
      </c>
      <c r="M1286" s="30"/>
      <c r="N1286" s="30"/>
      <c r="O1286" s="287">
        <f t="shared" si="282"/>
        <v>0</v>
      </c>
      <c r="P1286" s="287">
        <f t="shared" si="283"/>
        <v>0</v>
      </c>
      <c r="Q1286" s="288"/>
      <c r="R1286" s="243"/>
      <c r="S1286" s="385" t="str">
        <f t="shared" si="285"/>
        <v/>
      </c>
    </row>
    <row r="1287" spans="2:19" ht="26.25" hidden="1" thickBot="1">
      <c r="B1287" s="609">
        <v>101946</v>
      </c>
      <c r="C1287" s="610" t="s">
        <v>843</v>
      </c>
      <c r="D1287" s="611" t="s">
        <v>1423</v>
      </c>
      <c r="E1287" s="602"/>
      <c r="F1287" s="603"/>
      <c r="G1287" s="604"/>
      <c r="H1287" s="605"/>
      <c r="I1287" s="675">
        <v>125.73</v>
      </c>
      <c r="J1287" s="675">
        <f t="shared" si="284"/>
        <v>125.73</v>
      </c>
      <c r="K1287" s="606">
        <f t="shared" si="281"/>
        <v>152.57</v>
      </c>
      <c r="L1287" s="389" t="s">
        <v>21</v>
      </c>
      <c r="M1287" s="30"/>
      <c r="N1287" s="30"/>
      <c r="O1287" s="287">
        <f t="shared" si="282"/>
        <v>0</v>
      </c>
      <c r="P1287" s="287">
        <f t="shared" si="283"/>
        <v>0</v>
      </c>
      <c r="Q1287" s="288"/>
      <c r="R1287" s="243"/>
      <c r="S1287" s="385" t="str">
        <f t="shared" si="285"/>
        <v/>
      </c>
    </row>
    <row r="1288" spans="2:19" ht="26.25" hidden="1" thickBot="1">
      <c r="B1288" s="609">
        <v>97362</v>
      </c>
      <c r="C1288" s="610" t="s">
        <v>843</v>
      </c>
      <c r="D1288" s="611" t="s">
        <v>1424</v>
      </c>
      <c r="E1288" s="602"/>
      <c r="F1288" s="603"/>
      <c r="G1288" s="604"/>
      <c r="H1288" s="605"/>
      <c r="I1288" s="675">
        <v>2080.13</v>
      </c>
      <c r="J1288" s="675">
        <f t="shared" si="284"/>
        <v>2080.13</v>
      </c>
      <c r="K1288" s="606">
        <f t="shared" si="281"/>
        <v>2524.2399999999998</v>
      </c>
      <c r="L1288" s="389" t="s">
        <v>21</v>
      </c>
      <c r="M1288" s="30"/>
      <c r="N1288" s="30"/>
      <c r="O1288" s="287">
        <f t="shared" si="282"/>
        <v>0</v>
      </c>
      <c r="P1288" s="287">
        <f t="shared" si="283"/>
        <v>0</v>
      </c>
      <c r="Q1288" s="288"/>
      <c r="R1288" s="243"/>
      <c r="S1288" s="385" t="str">
        <f t="shared" si="285"/>
        <v/>
      </c>
    </row>
    <row r="1289" spans="2:19" ht="13.5" hidden="1" thickBot="1">
      <c r="B1289" s="609">
        <v>97359</v>
      </c>
      <c r="C1289" s="610" t="s">
        <v>843</v>
      </c>
      <c r="D1289" s="611" t="s">
        <v>1425</v>
      </c>
      <c r="E1289" s="602"/>
      <c r="F1289" s="603"/>
      <c r="G1289" s="604"/>
      <c r="H1289" s="605"/>
      <c r="I1289" s="675">
        <v>2468.66</v>
      </c>
      <c r="J1289" s="675">
        <f t="shared" si="284"/>
        <v>2468.66</v>
      </c>
      <c r="K1289" s="606">
        <f t="shared" si="281"/>
        <v>2995.72</v>
      </c>
      <c r="L1289" s="389" t="s">
        <v>21</v>
      </c>
      <c r="M1289" s="30"/>
      <c r="N1289" s="30"/>
      <c r="O1289" s="287">
        <f t="shared" si="282"/>
        <v>0</v>
      </c>
      <c r="P1289" s="287">
        <f t="shared" si="283"/>
        <v>0</v>
      </c>
      <c r="Q1289" s="288"/>
      <c r="R1289" s="243"/>
      <c r="S1289" s="385" t="str">
        <f t="shared" si="285"/>
        <v/>
      </c>
    </row>
    <row r="1290" spans="2:19" ht="26.25" hidden="1" thickBot="1">
      <c r="B1290" s="609">
        <v>97360</v>
      </c>
      <c r="C1290" s="610" t="s">
        <v>843</v>
      </c>
      <c r="D1290" s="611" t="s">
        <v>1426</v>
      </c>
      <c r="E1290" s="602"/>
      <c r="F1290" s="603"/>
      <c r="G1290" s="604"/>
      <c r="H1290" s="605"/>
      <c r="I1290" s="675">
        <v>4739.78</v>
      </c>
      <c r="J1290" s="675">
        <f t="shared" si="284"/>
        <v>4739.78</v>
      </c>
      <c r="K1290" s="606">
        <f t="shared" si="281"/>
        <v>5751.72</v>
      </c>
      <c r="L1290" s="389" t="s">
        <v>21</v>
      </c>
      <c r="M1290" s="30"/>
      <c r="N1290" s="30"/>
      <c r="O1290" s="287">
        <f t="shared" si="282"/>
        <v>0</v>
      </c>
      <c r="P1290" s="287">
        <f t="shared" si="283"/>
        <v>0</v>
      </c>
      <c r="Q1290" s="288"/>
      <c r="R1290" s="243"/>
      <c r="S1290" s="385" t="str">
        <f t="shared" si="285"/>
        <v/>
      </c>
    </row>
    <row r="1291" spans="2:19" ht="26.25" hidden="1" thickBot="1">
      <c r="B1291" s="609">
        <v>97361</v>
      </c>
      <c r="C1291" s="610" t="s">
        <v>843</v>
      </c>
      <c r="D1291" s="611" t="s">
        <v>1427</v>
      </c>
      <c r="E1291" s="602"/>
      <c r="F1291" s="603"/>
      <c r="G1291" s="604"/>
      <c r="H1291" s="605"/>
      <c r="I1291" s="675">
        <v>6319.71</v>
      </c>
      <c r="J1291" s="675">
        <f t="shared" si="284"/>
        <v>6319.71</v>
      </c>
      <c r="K1291" s="606">
        <f t="shared" si="281"/>
        <v>7668.97</v>
      </c>
      <c r="L1291" s="389" t="s">
        <v>21</v>
      </c>
      <c r="M1291" s="30"/>
      <c r="N1291" s="30"/>
      <c r="O1291" s="287">
        <f t="shared" si="282"/>
        <v>0</v>
      </c>
      <c r="P1291" s="287">
        <f t="shared" si="283"/>
        <v>0</v>
      </c>
      <c r="Q1291" s="288"/>
      <c r="R1291" s="243"/>
      <c r="S1291" s="385" t="str">
        <f t="shared" si="285"/>
        <v/>
      </c>
    </row>
    <row r="1292" spans="2:19" ht="26.25" hidden="1" thickBot="1">
      <c r="B1292" s="609">
        <v>101875</v>
      </c>
      <c r="C1292" s="610" t="s">
        <v>843</v>
      </c>
      <c r="D1292" s="611" t="s">
        <v>1428</v>
      </c>
      <c r="E1292" s="602"/>
      <c r="F1292" s="603"/>
      <c r="G1292" s="604"/>
      <c r="H1292" s="605"/>
      <c r="I1292" s="675">
        <v>441.05</v>
      </c>
      <c r="J1292" s="675">
        <f t="shared" si="284"/>
        <v>441.05</v>
      </c>
      <c r="K1292" s="606">
        <f t="shared" si="281"/>
        <v>535.21</v>
      </c>
      <c r="L1292" s="389" t="s">
        <v>21</v>
      </c>
      <c r="M1292" s="30"/>
      <c r="N1292" s="30"/>
      <c r="O1292" s="287">
        <f t="shared" si="282"/>
        <v>0</v>
      </c>
      <c r="P1292" s="287">
        <f t="shared" si="283"/>
        <v>0</v>
      </c>
      <c r="Q1292" s="288"/>
      <c r="R1292" s="243"/>
      <c r="S1292" s="385" t="str">
        <f t="shared" si="285"/>
        <v/>
      </c>
    </row>
    <row r="1293" spans="2:19" ht="26.25" hidden="1" thickBot="1">
      <c r="B1293" s="609">
        <v>101876</v>
      </c>
      <c r="C1293" s="610" t="s">
        <v>843</v>
      </c>
      <c r="D1293" s="611" t="s">
        <v>1429</v>
      </c>
      <c r="E1293" s="602"/>
      <c r="F1293" s="603"/>
      <c r="G1293" s="604"/>
      <c r="H1293" s="605"/>
      <c r="I1293" s="675">
        <v>58.48</v>
      </c>
      <c r="J1293" s="675">
        <f t="shared" si="284"/>
        <v>58.48</v>
      </c>
      <c r="K1293" s="606">
        <f t="shared" si="281"/>
        <v>70.97</v>
      </c>
      <c r="L1293" s="389" t="s">
        <v>21</v>
      </c>
      <c r="M1293" s="30"/>
      <c r="N1293" s="30"/>
      <c r="O1293" s="287">
        <f t="shared" si="282"/>
        <v>0</v>
      </c>
      <c r="P1293" s="287">
        <f t="shared" si="283"/>
        <v>0</v>
      </c>
      <c r="Q1293" s="288"/>
      <c r="R1293" s="243"/>
      <c r="S1293" s="385" t="str">
        <f t="shared" si="285"/>
        <v/>
      </c>
    </row>
    <row r="1294" spans="2:19" ht="26.25" hidden="1" thickBot="1">
      <c r="B1294" s="609">
        <v>101877</v>
      </c>
      <c r="C1294" s="610" t="s">
        <v>843</v>
      </c>
      <c r="D1294" s="611" t="s">
        <v>1430</v>
      </c>
      <c r="E1294" s="602"/>
      <c r="F1294" s="603"/>
      <c r="G1294" s="604"/>
      <c r="H1294" s="605"/>
      <c r="I1294" s="675">
        <v>41.14</v>
      </c>
      <c r="J1294" s="675">
        <f t="shared" si="284"/>
        <v>41.14</v>
      </c>
      <c r="K1294" s="606">
        <f t="shared" si="281"/>
        <v>49.92</v>
      </c>
      <c r="L1294" s="389" t="s">
        <v>21</v>
      </c>
      <c r="M1294" s="30"/>
      <c r="N1294" s="30"/>
      <c r="O1294" s="287">
        <f t="shared" si="282"/>
        <v>0</v>
      </c>
      <c r="P1294" s="287">
        <f t="shared" si="283"/>
        <v>0</v>
      </c>
      <c r="Q1294" s="288"/>
      <c r="R1294" s="243"/>
      <c r="S1294" s="385" t="str">
        <f t="shared" si="285"/>
        <v/>
      </c>
    </row>
    <row r="1295" spans="2:19" ht="26.25" hidden="1" thickBot="1">
      <c r="B1295" s="609">
        <v>101878</v>
      </c>
      <c r="C1295" s="610" t="s">
        <v>843</v>
      </c>
      <c r="D1295" s="611" t="s">
        <v>1431</v>
      </c>
      <c r="E1295" s="602"/>
      <c r="F1295" s="603"/>
      <c r="G1295" s="604"/>
      <c r="H1295" s="605"/>
      <c r="I1295" s="675">
        <v>605.13</v>
      </c>
      <c r="J1295" s="675">
        <f t="shared" si="284"/>
        <v>605.13</v>
      </c>
      <c r="K1295" s="606">
        <f t="shared" si="281"/>
        <v>734.33</v>
      </c>
      <c r="L1295" s="389" t="s">
        <v>21</v>
      </c>
      <c r="M1295" s="30"/>
      <c r="N1295" s="30"/>
      <c r="O1295" s="287">
        <f t="shared" si="282"/>
        <v>0</v>
      </c>
      <c r="P1295" s="287">
        <f t="shared" si="283"/>
        <v>0</v>
      </c>
      <c r="Q1295" s="288"/>
      <c r="R1295" s="243"/>
      <c r="S1295" s="385" t="str">
        <f t="shared" si="285"/>
        <v/>
      </c>
    </row>
    <row r="1296" spans="2:19" ht="26.25" hidden="1" thickBot="1">
      <c r="B1296" s="609">
        <v>101879</v>
      </c>
      <c r="C1296" s="610" t="s">
        <v>843</v>
      </c>
      <c r="D1296" s="611" t="s">
        <v>1432</v>
      </c>
      <c r="E1296" s="602"/>
      <c r="F1296" s="603"/>
      <c r="G1296" s="604"/>
      <c r="H1296" s="605"/>
      <c r="I1296" s="675">
        <v>640.34</v>
      </c>
      <c r="J1296" s="675">
        <f t="shared" si="284"/>
        <v>640.34</v>
      </c>
      <c r="K1296" s="606">
        <f t="shared" si="281"/>
        <v>777.05</v>
      </c>
      <c r="L1296" s="389" t="s">
        <v>21</v>
      </c>
      <c r="M1296" s="30"/>
      <c r="N1296" s="30"/>
      <c r="O1296" s="287">
        <f t="shared" si="282"/>
        <v>0</v>
      </c>
      <c r="P1296" s="287">
        <f t="shared" si="283"/>
        <v>0</v>
      </c>
      <c r="Q1296" s="288"/>
      <c r="R1296" s="243"/>
      <c r="S1296" s="385" t="str">
        <f t="shared" si="285"/>
        <v/>
      </c>
    </row>
    <row r="1297" spans="2:19" ht="26.25" hidden="1" thickBot="1">
      <c r="B1297" s="609">
        <v>101880</v>
      </c>
      <c r="C1297" s="610" t="s">
        <v>843</v>
      </c>
      <c r="D1297" s="611" t="s">
        <v>1433</v>
      </c>
      <c r="E1297" s="602"/>
      <c r="F1297" s="603"/>
      <c r="G1297" s="604"/>
      <c r="H1297" s="605"/>
      <c r="I1297" s="675">
        <v>736.59</v>
      </c>
      <c r="J1297" s="675">
        <f t="shared" si="284"/>
        <v>736.59</v>
      </c>
      <c r="K1297" s="606">
        <f t="shared" ref="K1297:K1360" si="286">IF(ISBLANK(I1297),0,ROUND(J1297*(1+$F$10)*(1+$F$11*E1297),2))</f>
        <v>893.85</v>
      </c>
      <c r="L1297" s="389" t="s">
        <v>21</v>
      </c>
      <c r="M1297" s="30"/>
      <c r="N1297" s="30"/>
      <c r="O1297" s="287">
        <f t="shared" ref="O1297:O1360" si="287">IF(ISBLANK(M1297),0,ROUND(K1297*M1297,2))</f>
        <v>0</v>
      </c>
      <c r="P1297" s="287">
        <f t="shared" ref="P1297:P1360" si="288">IF(ISBLANK(N1297),0,ROUND(M1297*N1297,2))</f>
        <v>0</v>
      </c>
      <c r="Q1297" s="288"/>
      <c r="R1297" s="243"/>
      <c r="S1297" s="385" t="str">
        <f t="shared" si="285"/>
        <v/>
      </c>
    </row>
    <row r="1298" spans="2:19" ht="26.25" hidden="1" thickBot="1">
      <c r="B1298" s="609">
        <v>101881</v>
      </c>
      <c r="C1298" s="610" t="s">
        <v>843</v>
      </c>
      <c r="D1298" s="611" t="s">
        <v>1434</v>
      </c>
      <c r="E1298" s="602"/>
      <c r="F1298" s="603"/>
      <c r="G1298" s="604"/>
      <c r="H1298" s="605"/>
      <c r="I1298" s="675">
        <v>1063.2</v>
      </c>
      <c r="J1298" s="675">
        <f t="shared" si="284"/>
        <v>1063.2</v>
      </c>
      <c r="K1298" s="606">
        <f t="shared" si="286"/>
        <v>1290.19</v>
      </c>
      <c r="L1298" s="389" t="s">
        <v>21</v>
      </c>
      <c r="M1298" s="30"/>
      <c r="N1298" s="30"/>
      <c r="O1298" s="287">
        <f t="shared" si="287"/>
        <v>0</v>
      </c>
      <c r="P1298" s="287">
        <f t="shared" si="288"/>
        <v>0</v>
      </c>
      <c r="Q1298" s="288"/>
      <c r="R1298" s="243"/>
      <c r="S1298" s="385" t="str">
        <f t="shared" si="285"/>
        <v/>
      </c>
    </row>
    <row r="1299" spans="2:19" ht="26.25" hidden="1" thickBot="1">
      <c r="B1299" s="609">
        <v>101882</v>
      </c>
      <c r="C1299" s="610" t="s">
        <v>843</v>
      </c>
      <c r="D1299" s="611" t="s">
        <v>1435</v>
      </c>
      <c r="E1299" s="602"/>
      <c r="F1299" s="603"/>
      <c r="G1299" s="604"/>
      <c r="H1299" s="605"/>
      <c r="I1299" s="675">
        <v>1513.24</v>
      </c>
      <c r="J1299" s="675">
        <f t="shared" si="284"/>
        <v>1513.24</v>
      </c>
      <c r="K1299" s="606">
        <f t="shared" si="286"/>
        <v>1836.32</v>
      </c>
      <c r="L1299" s="389" t="s">
        <v>21</v>
      </c>
      <c r="M1299" s="30"/>
      <c r="N1299" s="30"/>
      <c r="O1299" s="287">
        <f t="shared" si="287"/>
        <v>0</v>
      </c>
      <c r="P1299" s="287">
        <f t="shared" si="288"/>
        <v>0</v>
      </c>
      <c r="Q1299" s="288"/>
      <c r="R1299" s="243"/>
      <c r="S1299" s="385" t="str">
        <f t="shared" si="285"/>
        <v/>
      </c>
    </row>
    <row r="1300" spans="2:19" ht="26.25" hidden="1" thickBot="1">
      <c r="B1300" s="609">
        <v>101883</v>
      </c>
      <c r="C1300" s="610" t="s">
        <v>843</v>
      </c>
      <c r="D1300" s="611" t="s">
        <v>1436</v>
      </c>
      <c r="E1300" s="602"/>
      <c r="F1300" s="603"/>
      <c r="G1300" s="604"/>
      <c r="H1300" s="605"/>
      <c r="I1300" s="675">
        <v>610.30999999999995</v>
      </c>
      <c r="J1300" s="675">
        <f t="shared" si="284"/>
        <v>610.30999999999995</v>
      </c>
      <c r="K1300" s="606">
        <f t="shared" si="286"/>
        <v>740.61</v>
      </c>
      <c r="L1300" s="389" t="s">
        <v>21</v>
      </c>
      <c r="M1300" s="30"/>
      <c r="N1300" s="30"/>
      <c r="O1300" s="287">
        <f t="shared" si="287"/>
        <v>0</v>
      </c>
      <c r="P1300" s="287">
        <f t="shared" si="288"/>
        <v>0</v>
      </c>
      <c r="Q1300" s="288"/>
      <c r="R1300" s="243"/>
      <c r="S1300" s="385" t="str">
        <f t="shared" si="285"/>
        <v/>
      </c>
    </row>
    <row r="1301" spans="2:19" ht="13.5" hidden="1" thickBot="1">
      <c r="B1301" s="609">
        <v>101901</v>
      </c>
      <c r="C1301" s="610" t="s">
        <v>843</v>
      </c>
      <c r="D1301" s="611" t="s">
        <v>1437</v>
      </c>
      <c r="E1301" s="602"/>
      <c r="F1301" s="603"/>
      <c r="G1301" s="604"/>
      <c r="H1301" s="605"/>
      <c r="I1301" s="675">
        <v>221.34</v>
      </c>
      <c r="J1301" s="675">
        <f t="shared" si="284"/>
        <v>221.34</v>
      </c>
      <c r="K1301" s="606">
        <f t="shared" si="286"/>
        <v>268.60000000000002</v>
      </c>
      <c r="L1301" s="389" t="s">
        <v>21</v>
      </c>
      <c r="M1301" s="30"/>
      <c r="N1301" s="30"/>
      <c r="O1301" s="287">
        <f t="shared" si="287"/>
        <v>0</v>
      </c>
      <c r="P1301" s="287">
        <f t="shared" si="288"/>
        <v>0</v>
      </c>
      <c r="Q1301" s="288"/>
      <c r="R1301" s="243"/>
      <c r="S1301" s="385" t="str">
        <f t="shared" si="285"/>
        <v/>
      </c>
    </row>
    <row r="1302" spans="2:19" ht="13.5" hidden="1" thickBot="1">
      <c r="B1302" s="609">
        <v>101902</v>
      </c>
      <c r="C1302" s="610" t="s">
        <v>843</v>
      </c>
      <c r="D1302" s="611" t="s">
        <v>1438</v>
      </c>
      <c r="E1302" s="602"/>
      <c r="F1302" s="603"/>
      <c r="G1302" s="604"/>
      <c r="H1302" s="605"/>
      <c r="I1302" s="675">
        <v>272.64999999999998</v>
      </c>
      <c r="J1302" s="675">
        <f t="shared" si="284"/>
        <v>272.64999999999998</v>
      </c>
      <c r="K1302" s="606">
        <f t="shared" si="286"/>
        <v>330.86</v>
      </c>
      <c r="L1302" s="389" t="s">
        <v>21</v>
      </c>
      <c r="M1302" s="30"/>
      <c r="N1302" s="30"/>
      <c r="O1302" s="287">
        <f t="shared" si="287"/>
        <v>0</v>
      </c>
      <c r="P1302" s="287">
        <f t="shared" si="288"/>
        <v>0</v>
      </c>
      <c r="Q1302" s="288"/>
      <c r="R1302" s="243"/>
      <c r="S1302" s="385" t="str">
        <f t="shared" si="285"/>
        <v/>
      </c>
    </row>
    <row r="1303" spans="2:19" ht="13.5" hidden="1" thickBot="1">
      <c r="B1303" s="609">
        <v>101903</v>
      </c>
      <c r="C1303" s="610" t="s">
        <v>843</v>
      </c>
      <c r="D1303" s="611" t="s">
        <v>1439</v>
      </c>
      <c r="E1303" s="602"/>
      <c r="F1303" s="603"/>
      <c r="G1303" s="604"/>
      <c r="H1303" s="605"/>
      <c r="I1303" s="675">
        <v>571.08000000000004</v>
      </c>
      <c r="J1303" s="675">
        <f t="shared" si="284"/>
        <v>571.08000000000004</v>
      </c>
      <c r="K1303" s="606">
        <f t="shared" si="286"/>
        <v>693.01</v>
      </c>
      <c r="L1303" s="389" t="s">
        <v>21</v>
      </c>
      <c r="M1303" s="30"/>
      <c r="N1303" s="30"/>
      <c r="O1303" s="287">
        <f t="shared" si="287"/>
        <v>0</v>
      </c>
      <c r="P1303" s="287">
        <f t="shared" si="288"/>
        <v>0</v>
      </c>
      <c r="Q1303" s="288"/>
      <c r="R1303" s="243"/>
      <c r="S1303" s="385" t="str">
        <f t="shared" si="285"/>
        <v/>
      </c>
    </row>
    <row r="1304" spans="2:19" ht="13.5" hidden="1" thickBot="1">
      <c r="B1304" s="609">
        <v>101904</v>
      </c>
      <c r="C1304" s="610" t="s">
        <v>843</v>
      </c>
      <c r="D1304" s="611" t="s">
        <v>1440</v>
      </c>
      <c r="E1304" s="602"/>
      <c r="F1304" s="603"/>
      <c r="G1304" s="604"/>
      <c r="H1304" s="605"/>
      <c r="I1304" s="675">
        <v>2128.86</v>
      </c>
      <c r="J1304" s="675">
        <f t="shared" si="284"/>
        <v>2128.86</v>
      </c>
      <c r="K1304" s="606">
        <f t="shared" si="286"/>
        <v>2583.37</v>
      </c>
      <c r="L1304" s="389" t="s">
        <v>21</v>
      </c>
      <c r="M1304" s="30"/>
      <c r="N1304" s="30"/>
      <c r="O1304" s="287">
        <f t="shared" si="287"/>
        <v>0</v>
      </c>
      <c r="P1304" s="287">
        <f t="shared" si="288"/>
        <v>0</v>
      </c>
      <c r="Q1304" s="288"/>
      <c r="R1304" s="243"/>
      <c r="S1304" s="385" t="str">
        <f t="shared" si="285"/>
        <v/>
      </c>
    </row>
    <row r="1305" spans="2:19" ht="26.25" hidden="1" thickBot="1">
      <c r="B1305" s="609">
        <v>93653</v>
      </c>
      <c r="C1305" s="610" t="s">
        <v>843</v>
      </c>
      <c r="D1305" s="611" t="s">
        <v>1441</v>
      </c>
      <c r="E1305" s="602"/>
      <c r="F1305" s="603"/>
      <c r="G1305" s="604"/>
      <c r="H1305" s="605"/>
      <c r="I1305" s="675">
        <v>11.63</v>
      </c>
      <c r="J1305" s="675">
        <f t="shared" si="284"/>
        <v>11.63</v>
      </c>
      <c r="K1305" s="606">
        <f t="shared" si="286"/>
        <v>14.11</v>
      </c>
      <c r="L1305" s="389" t="s">
        <v>21</v>
      </c>
      <c r="M1305" s="30"/>
      <c r="N1305" s="30"/>
      <c r="O1305" s="287">
        <f t="shared" si="287"/>
        <v>0</v>
      </c>
      <c r="P1305" s="287">
        <f t="shared" si="288"/>
        <v>0</v>
      </c>
      <c r="Q1305" s="288"/>
      <c r="R1305" s="243"/>
      <c r="S1305" s="385" t="str">
        <f t="shared" si="285"/>
        <v/>
      </c>
    </row>
    <row r="1306" spans="2:19" ht="26.25" hidden="1" thickBot="1">
      <c r="B1306" s="609">
        <v>93654</v>
      </c>
      <c r="C1306" s="610" t="s">
        <v>843</v>
      </c>
      <c r="D1306" s="611" t="s">
        <v>1442</v>
      </c>
      <c r="E1306" s="602"/>
      <c r="F1306" s="603"/>
      <c r="G1306" s="604"/>
      <c r="H1306" s="605"/>
      <c r="I1306" s="675">
        <v>12.19</v>
      </c>
      <c r="J1306" s="675">
        <f t="shared" si="284"/>
        <v>12.19</v>
      </c>
      <c r="K1306" s="606">
        <f t="shared" si="286"/>
        <v>14.79</v>
      </c>
      <c r="L1306" s="389" t="s">
        <v>21</v>
      </c>
      <c r="M1306" s="30"/>
      <c r="N1306" s="30"/>
      <c r="O1306" s="287">
        <f t="shared" si="287"/>
        <v>0</v>
      </c>
      <c r="P1306" s="287">
        <f t="shared" si="288"/>
        <v>0</v>
      </c>
      <c r="Q1306" s="288"/>
      <c r="R1306" s="243"/>
      <c r="S1306" s="385" t="str">
        <f t="shared" si="285"/>
        <v/>
      </c>
    </row>
    <row r="1307" spans="2:19" ht="26.25" hidden="1" thickBot="1">
      <c r="B1307" s="609">
        <v>93655</v>
      </c>
      <c r="C1307" s="610" t="s">
        <v>843</v>
      </c>
      <c r="D1307" s="611" t="s">
        <v>1443</v>
      </c>
      <c r="E1307" s="602"/>
      <c r="F1307" s="603"/>
      <c r="G1307" s="604"/>
      <c r="H1307" s="605"/>
      <c r="I1307" s="675">
        <v>13.28</v>
      </c>
      <c r="J1307" s="675">
        <f t="shared" si="284"/>
        <v>13.28</v>
      </c>
      <c r="K1307" s="606">
        <f t="shared" si="286"/>
        <v>16.12</v>
      </c>
      <c r="L1307" s="389" t="s">
        <v>21</v>
      </c>
      <c r="M1307" s="30"/>
      <c r="N1307" s="30"/>
      <c r="O1307" s="287">
        <f t="shared" si="287"/>
        <v>0</v>
      </c>
      <c r="P1307" s="287">
        <f t="shared" si="288"/>
        <v>0</v>
      </c>
      <c r="Q1307" s="288"/>
      <c r="R1307" s="243"/>
      <c r="S1307" s="385" t="str">
        <f t="shared" si="285"/>
        <v/>
      </c>
    </row>
    <row r="1308" spans="2:19" ht="26.25" hidden="1" thickBot="1">
      <c r="B1308" s="609">
        <v>93656</v>
      </c>
      <c r="C1308" s="610" t="s">
        <v>843</v>
      </c>
      <c r="D1308" s="611" t="s">
        <v>1444</v>
      </c>
      <c r="E1308" s="602"/>
      <c r="F1308" s="603"/>
      <c r="G1308" s="604"/>
      <c r="H1308" s="605"/>
      <c r="I1308" s="675">
        <v>13.28</v>
      </c>
      <c r="J1308" s="675">
        <f t="shared" ref="J1308:J1371" si="289">IF(ISBLANK(I1308),"",SUM(H1308:I1308))</f>
        <v>13.28</v>
      </c>
      <c r="K1308" s="606">
        <f t="shared" si="286"/>
        <v>16.12</v>
      </c>
      <c r="L1308" s="389" t="s">
        <v>21</v>
      </c>
      <c r="M1308" s="30"/>
      <c r="N1308" s="30"/>
      <c r="O1308" s="287">
        <f t="shared" si="287"/>
        <v>0</v>
      </c>
      <c r="P1308" s="287">
        <f t="shared" si="288"/>
        <v>0</v>
      </c>
      <c r="Q1308" s="288"/>
      <c r="R1308" s="243"/>
      <c r="S1308" s="385" t="str">
        <f t="shared" si="285"/>
        <v/>
      </c>
    </row>
    <row r="1309" spans="2:19" ht="26.25" hidden="1" thickBot="1">
      <c r="B1309" s="609">
        <v>93657</v>
      </c>
      <c r="C1309" s="610" t="s">
        <v>843</v>
      </c>
      <c r="D1309" s="611" t="s">
        <v>1445</v>
      </c>
      <c r="E1309" s="602"/>
      <c r="F1309" s="603"/>
      <c r="G1309" s="604"/>
      <c r="H1309" s="605"/>
      <c r="I1309" s="675">
        <v>14.61</v>
      </c>
      <c r="J1309" s="675">
        <f t="shared" si="289"/>
        <v>14.61</v>
      </c>
      <c r="K1309" s="606">
        <f t="shared" si="286"/>
        <v>17.73</v>
      </c>
      <c r="L1309" s="389" t="s">
        <v>21</v>
      </c>
      <c r="M1309" s="30"/>
      <c r="N1309" s="30"/>
      <c r="O1309" s="287">
        <f t="shared" si="287"/>
        <v>0</v>
      </c>
      <c r="P1309" s="287">
        <f t="shared" si="288"/>
        <v>0</v>
      </c>
      <c r="Q1309" s="288"/>
      <c r="R1309" s="243"/>
      <c r="S1309" s="385" t="str">
        <f t="shared" si="285"/>
        <v/>
      </c>
    </row>
    <row r="1310" spans="2:19" ht="26.25" hidden="1" thickBot="1">
      <c r="B1310" s="609">
        <v>93658</v>
      </c>
      <c r="C1310" s="610" t="s">
        <v>843</v>
      </c>
      <c r="D1310" s="611" t="s">
        <v>1446</v>
      </c>
      <c r="E1310" s="602"/>
      <c r="F1310" s="603"/>
      <c r="G1310" s="604"/>
      <c r="H1310" s="605"/>
      <c r="I1310" s="675">
        <v>21.15</v>
      </c>
      <c r="J1310" s="675">
        <f t="shared" si="289"/>
        <v>21.15</v>
      </c>
      <c r="K1310" s="606">
        <f t="shared" si="286"/>
        <v>25.67</v>
      </c>
      <c r="L1310" s="389" t="s">
        <v>21</v>
      </c>
      <c r="M1310" s="30"/>
      <c r="N1310" s="30"/>
      <c r="O1310" s="287">
        <f t="shared" si="287"/>
        <v>0</v>
      </c>
      <c r="P1310" s="287">
        <f t="shared" si="288"/>
        <v>0</v>
      </c>
      <c r="Q1310" s="288"/>
      <c r="R1310" s="243"/>
      <c r="S1310" s="385" t="str">
        <f t="shared" si="285"/>
        <v/>
      </c>
    </row>
    <row r="1311" spans="2:19" ht="26.25" hidden="1" thickBot="1">
      <c r="B1311" s="609">
        <v>93659</v>
      </c>
      <c r="C1311" s="610" t="s">
        <v>843</v>
      </c>
      <c r="D1311" s="611" t="s">
        <v>1447</v>
      </c>
      <c r="E1311" s="602"/>
      <c r="F1311" s="603"/>
      <c r="G1311" s="604"/>
      <c r="H1311" s="605"/>
      <c r="I1311" s="675">
        <v>23.85</v>
      </c>
      <c r="J1311" s="675">
        <f t="shared" si="289"/>
        <v>23.85</v>
      </c>
      <c r="K1311" s="606">
        <f t="shared" si="286"/>
        <v>28.94</v>
      </c>
      <c r="L1311" s="389" t="s">
        <v>21</v>
      </c>
      <c r="M1311" s="30"/>
      <c r="N1311" s="30"/>
      <c r="O1311" s="287">
        <f t="shared" si="287"/>
        <v>0</v>
      </c>
      <c r="P1311" s="287">
        <f t="shared" si="288"/>
        <v>0</v>
      </c>
      <c r="Q1311" s="288"/>
      <c r="R1311" s="243"/>
      <c r="S1311" s="385" t="str">
        <f t="shared" si="285"/>
        <v/>
      </c>
    </row>
    <row r="1312" spans="2:19" ht="26.25" hidden="1" thickBot="1">
      <c r="B1312" s="609">
        <v>101890</v>
      </c>
      <c r="C1312" s="610" t="s">
        <v>843</v>
      </c>
      <c r="D1312" s="611" t="s">
        <v>1448</v>
      </c>
      <c r="E1312" s="602"/>
      <c r="F1312" s="603"/>
      <c r="G1312" s="604"/>
      <c r="H1312" s="605"/>
      <c r="I1312" s="675">
        <v>16</v>
      </c>
      <c r="J1312" s="675">
        <f t="shared" si="289"/>
        <v>16</v>
      </c>
      <c r="K1312" s="606">
        <f t="shared" si="286"/>
        <v>19.420000000000002</v>
      </c>
      <c r="L1312" s="389" t="s">
        <v>21</v>
      </c>
      <c r="M1312" s="30"/>
      <c r="N1312" s="30"/>
      <c r="O1312" s="287">
        <f t="shared" si="287"/>
        <v>0</v>
      </c>
      <c r="P1312" s="287">
        <f t="shared" si="288"/>
        <v>0</v>
      </c>
      <c r="Q1312" s="288"/>
      <c r="R1312" s="243"/>
      <c r="S1312" s="385" t="str">
        <f t="shared" si="285"/>
        <v/>
      </c>
    </row>
    <row r="1313" spans="2:19" ht="26.25" hidden="1" thickBot="1">
      <c r="B1313" s="609">
        <v>101891</v>
      </c>
      <c r="C1313" s="610" t="s">
        <v>843</v>
      </c>
      <c r="D1313" s="611" t="s">
        <v>1449</v>
      </c>
      <c r="E1313" s="602"/>
      <c r="F1313" s="603"/>
      <c r="G1313" s="604"/>
      <c r="H1313" s="605"/>
      <c r="I1313" s="675">
        <v>27.5</v>
      </c>
      <c r="J1313" s="675">
        <f t="shared" si="289"/>
        <v>27.5</v>
      </c>
      <c r="K1313" s="606">
        <f t="shared" si="286"/>
        <v>33.369999999999997</v>
      </c>
      <c r="L1313" s="389" t="s">
        <v>21</v>
      </c>
      <c r="M1313" s="30"/>
      <c r="N1313" s="30"/>
      <c r="O1313" s="287">
        <f t="shared" si="287"/>
        <v>0</v>
      </c>
      <c r="P1313" s="287">
        <f t="shared" si="288"/>
        <v>0</v>
      </c>
      <c r="Q1313" s="288"/>
      <c r="R1313" s="243"/>
      <c r="S1313" s="385" t="str">
        <f t="shared" si="285"/>
        <v/>
      </c>
    </row>
    <row r="1314" spans="2:19" ht="13.5" hidden="1" thickBot="1">
      <c r="B1314" s="609">
        <v>93660</v>
      </c>
      <c r="C1314" s="610" t="s">
        <v>843</v>
      </c>
      <c r="D1314" s="611" t="s">
        <v>1450</v>
      </c>
      <c r="E1314" s="602"/>
      <c r="F1314" s="603"/>
      <c r="G1314" s="604"/>
      <c r="H1314" s="605"/>
      <c r="I1314" s="675">
        <v>57.65</v>
      </c>
      <c r="J1314" s="675">
        <f t="shared" si="289"/>
        <v>57.65</v>
      </c>
      <c r="K1314" s="606">
        <f t="shared" si="286"/>
        <v>69.959999999999994</v>
      </c>
      <c r="L1314" s="389" t="s">
        <v>21</v>
      </c>
      <c r="M1314" s="30"/>
      <c r="N1314" s="30"/>
      <c r="O1314" s="287">
        <f t="shared" si="287"/>
        <v>0</v>
      </c>
      <c r="P1314" s="287">
        <f t="shared" si="288"/>
        <v>0</v>
      </c>
      <c r="Q1314" s="288"/>
      <c r="R1314" s="243"/>
      <c r="S1314" s="385" t="str">
        <f t="shared" si="285"/>
        <v/>
      </c>
    </row>
    <row r="1315" spans="2:19" ht="13.5" hidden="1" thickBot="1">
      <c r="B1315" s="609">
        <v>93661</v>
      </c>
      <c r="C1315" s="610" t="s">
        <v>843</v>
      </c>
      <c r="D1315" s="611" t="s">
        <v>1451</v>
      </c>
      <c r="E1315" s="602"/>
      <c r="F1315" s="603"/>
      <c r="G1315" s="604"/>
      <c r="H1315" s="605"/>
      <c r="I1315" s="675">
        <v>58.77</v>
      </c>
      <c r="J1315" s="675">
        <f t="shared" si="289"/>
        <v>58.77</v>
      </c>
      <c r="K1315" s="606">
        <f t="shared" si="286"/>
        <v>71.319999999999993</v>
      </c>
      <c r="L1315" s="389" t="s">
        <v>21</v>
      </c>
      <c r="M1315" s="30"/>
      <c r="N1315" s="30"/>
      <c r="O1315" s="287">
        <f t="shared" si="287"/>
        <v>0</v>
      </c>
      <c r="P1315" s="287">
        <f t="shared" si="288"/>
        <v>0</v>
      </c>
      <c r="Q1315" s="288"/>
      <c r="R1315" s="243"/>
      <c r="S1315" s="385" t="str">
        <f t="shared" si="285"/>
        <v/>
      </c>
    </row>
    <row r="1316" spans="2:19" ht="13.5" hidden="1" thickBot="1">
      <c r="B1316" s="609">
        <v>93662</v>
      </c>
      <c r="C1316" s="610" t="s">
        <v>843</v>
      </c>
      <c r="D1316" s="611" t="s">
        <v>1452</v>
      </c>
      <c r="E1316" s="602"/>
      <c r="F1316" s="603"/>
      <c r="G1316" s="604"/>
      <c r="H1316" s="605"/>
      <c r="I1316" s="675">
        <v>60.95</v>
      </c>
      <c r="J1316" s="675">
        <f t="shared" si="289"/>
        <v>60.95</v>
      </c>
      <c r="K1316" s="606">
        <f t="shared" si="286"/>
        <v>73.959999999999994</v>
      </c>
      <c r="L1316" s="389" t="s">
        <v>21</v>
      </c>
      <c r="M1316" s="30"/>
      <c r="N1316" s="30"/>
      <c r="O1316" s="287">
        <f t="shared" si="287"/>
        <v>0</v>
      </c>
      <c r="P1316" s="287">
        <f t="shared" si="288"/>
        <v>0</v>
      </c>
      <c r="Q1316" s="288"/>
      <c r="R1316" s="243"/>
      <c r="S1316" s="385" t="str">
        <f t="shared" si="285"/>
        <v/>
      </c>
    </row>
    <row r="1317" spans="2:19" ht="13.5" hidden="1" thickBot="1">
      <c r="B1317" s="609">
        <v>93663</v>
      </c>
      <c r="C1317" s="610" t="s">
        <v>843</v>
      </c>
      <c r="D1317" s="611" t="s">
        <v>1453</v>
      </c>
      <c r="E1317" s="602"/>
      <c r="F1317" s="603"/>
      <c r="G1317" s="604"/>
      <c r="H1317" s="605"/>
      <c r="I1317" s="675">
        <v>60.95</v>
      </c>
      <c r="J1317" s="675">
        <f t="shared" si="289"/>
        <v>60.95</v>
      </c>
      <c r="K1317" s="606">
        <f t="shared" si="286"/>
        <v>73.959999999999994</v>
      </c>
      <c r="L1317" s="389" t="s">
        <v>21</v>
      </c>
      <c r="M1317" s="30"/>
      <c r="N1317" s="30"/>
      <c r="O1317" s="287">
        <f t="shared" si="287"/>
        <v>0</v>
      </c>
      <c r="P1317" s="287">
        <f t="shared" si="288"/>
        <v>0</v>
      </c>
      <c r="Q1317" s="288"/>
      <c r="R1317" s="243"/>
      <c r="S1317" s="385" t="str">
        <f t="shared" si="285"/>
        <v/>
      </c>
    </row>
    <row r="1318" spans="2:19" ht="13.5" hidden="1" thickBot="1">
      <c r="B1318" s="609">
        <v>93664</v>
      </c>
      <c r="C1318" s="610" t="s">
        <v>843</v>
      </c>
      <c r="D1318" s="611" t="s">
        <v>1454</v>
      </c>
      <c r="E1318" s="602"/>
      <c r="F1318" s="603"/>
      <c r="G1318" s="604"/>
      <c r="H1318" s="605"/>
      <c r="I1318" s="675">
        <v>63.61</v>
      </c>
      <c r="J1318" s="675">
        <f t="shared" si="289"/>
        <v>63.61</v>
      </c>
      <c r="K1318" s="606">
        <f t="shared" si="286"/>
        <v>77.19</v>
      </c>
      <c r="L1318" s="389" t="s">
        <v>21</v>
      </c>
      <c r="M1318" s="30"/>
      <c r="N1318" s="30"/>
      <c r="O1318" s="287">
        <f t="shared" si="287"/>
        <v>0</v>
      </c>
      <c r="P1318" s="287">
        <f t="shared" si="288"/>
        <v>0</v>
      </c>
      <c r="Q1318" s="288"/>
      <c r="R1318" s="243"/>
      <c r="S1318" s="385" t="str">
        <f t="shared" si="285"/>
        <v/>
      </c>
    </row>
    <row r="1319" spans="2:19" ht="13.5" hidden="1" thickBot="1">
      <c r="B1319" s="609">
        <v>93665</v>
      </c>
      <c r="C1319" s="610" t="s">
        <v>843</v>
      </c>
      <c r="D1319" s="611" t="s">
        <v>1455</v>
      </c>
      <c r="E1319" s="602"/>
      <c r="F1319" s="603"/>
      <c r="G1319" s="604"/>
      <c r="H1319" s="605"/>
      <c r="I1319" s="675">
        <v>66.989999999999995</v>
      </c>
      <c r="J1319" s="675">
        <f t="shared" si="289"/>
        <v>66.989999999999995</v>
      </c>
      <c r="K1319" s="606">
        <f t="shared" si="286"/>
        <v>81.290000000000006</v>
      </c>
      <c r="L1319" s="389" t="s">
        <v>21</v>
      </c>
      <c r="M1319" s="30"/>
      <c r="N1319" s="30"/>
      <c r="O1319" s="287">
        <f t="shared" si="287"/>
        <v>0</v>
      </c>
      <c r="P1319" s="287">
        <f t="shared" si="288"/>
        <v>0</v>
      </c>
      <c r="Q1319" s="288"/>
      <c r="R1319" s="243"/>
      <c r="S1319" s="385" t="str">
        <f t="shared" si="285"/>
        <v/>
      </c>
    </row>
    <row r="1320" spans="2:19" ht="13.5" hidden="1" thickBot="1">
      <c r="B1320" s="609">
        <v>93666</v>
      </c>
      <c r="C1320" s="610" t="s">
        <v>843</v>
      </c>
      <c r="D1320" s="611" t="s">
        <v>1456</v>
      </c>
      <c r="E1320" s="602"/>
      <c r="F1320" s="603"/>
      <c r="G1320" s="604"/>
      <c r="H1320" s="605"/>
      <c r="I1320" s="675">
        <v>72.38</v>
      </c>
      <c r="J1320" s="675">
        <f t="shared" si="289"/>
        <v>72.38</v>
      </c>
      <c r="K1320" s="606">
        <f t="shared" si="286"/>
        <v>87.83</v>
      </c>
      <c r="L1320" s="389" t="s">
        <v>21</v>
      </c>
      <c r="M1320" s="30"/>
      <c r="N1320" s="30"/>
      <c r="O1320" s="287">
        <f t="shared" si="287"/>
        <v>0</v>
      </c>
      <c r="P1320" s="287">
        <f t="shared" si="288"/>
        <v>0</v>
      </c>
      <c r="Q1320" s="288"/>
      <c r="R1320" s="243"/>
      <c r="S1320" s="385" t="str">
        <f t="shared" si="285"/>
        <v/>
      </c>
    </row>
    <row r="1321" spans="2:19" ht="26.25" hidden="1" thickBot="1">
      <c r="B1321" s="609">
        <v>101892</v>
      </c>
      <c r="C1321" s="610" t="s">
        <v>843</v>
      </c>
      <c r="D1321" s="611" t="s">
        <v>1457</v>
      </c>
      <c r="E1321" s="602"/>
      <c r="F1321" s="603"/>
      <c r="G1321" s="604"/>
      <c r="H1321" s="605"/>
      <c r="I1321" s="675">
        <v>72.349999999999994</v>
      </c>
      <c r="J1321" s="675">
        <f t="shared" si="289"/>
        <v>72.349999999999994</v>
      </c>
      <c r="K1321" s="606">
        <f t="shared" si="286"/>
        <v>87.8</v>
      </c>
      <c r="L1321" s="389" t="s">
        <v>21</v>
      </c>
      <c r="M1321" s="30"/>
      <c r="N1321" s="30"/>
      <c r="O1321" s="287">
        <f t="shared" si="287"/>
        <v>0</v>
      </c>
      <c r="P1321" s="287">
        <f t="shared" si="288"/>
        <v>0</v>
      </c>
      <c r="Q1321" s="288"/>
      <c r="R1321" s="243"/>
      <c r="S1321" s="385" t="str">
        <f t="shared" si="285"/>
        <v/>
      </c>
    </row>
    <row r="1322" spans="2:19" ht="13.5" hidden="1" thickBot="1">
      <c r="B1322" s="609">
        <v>93667</v>
      </c>
      <c r="C1322" s="610" t="s">
        <v>843</v>
      </c>
      <c r="D1322" s="611" t="s">
        <v>1458</v>
      </c>
      <c r="E1322" s="602"/>
      <c r="F1322" s="603"/>
      <c r="G1322" s="604"/>
      <c r="H1322" s="605"/>
      <c r="I1322" s="675">
        <v>71.98</v>
      </c>
      <c r="J1322" s="675">
        <f t="shared" si="289"/>
        <v>71.98</v>
      </c>
      <c r="K1322" s="606">
        <f t="shared" si="286"/>
        <v>87.35</v>
      </c>
      <c r="L1322" s="389" t="s">
        <v>21</v>
      </c>
      <c r="M1322" s="30"/>
      <c r="N1322" s="30"/>
      <c r="O1322" s="287">
        <f t="shared" si="287"/>
        <v>0</v>
      </c>
      <c r="P1322" s="287">
        <f t="shared" si="288"/>
        <v>0</v>
      </c>
      <c r="Q1322" s="288"/>
      <c r="R1322" s="243"/>
      <c r="S1322" s="385" t="str">
        <f t="shared" si="285"/>
        <v/>
      </c>
    </row>
    <row r="1323" spans="2:19" ht="13.5" hidden="1" thickBot="1">
      <c r="B1323" s="609">
        <v>93668</v>
      </c>
      <c r="C1323" s="610" t="s">
        <v>843</v>
      </c>
      <c r="D1323" s="611" t="s">
        <v>1459</v>
      </c>
      <c r="E1323" s="602"/>
      <c r="F1323" s="603"/>
      <c r="G1323" s="604"/>
      <c r="H1323" s="605"/>
      <c r="I1323" s="675">
        <v>73.650000000000006</v>
      </c>
      <c r="J1323" s="675">
        <f t="shared" si="289"/>
        <v>73.650000000000006</v>
      </c>
      <c r="K1323" s="606">
        <f t="shared" si="286"/>
        <v>89.37</v>
      </c>
      <c r="L1323" s="389" t="s">
        <v>21</v>
      </c>
      <c r="M1323" s="30"/>
      <c r="N1323" s="30"/>
      <c r="O1323" s="287">
        <f t="shared" si="287"/>
        <v>0</v>
      </c>
      <c r="P1323" s="287">
        <f t="shared" si="288"/>
        <v>0</v>
      </c>
      <c r="Q1323" s="288"/>
      <c r="R1323" s="243"/>
      <c r="S1323" s="385" t="str">
        <f t="shared" si="285"/>
        <v/>
      </c>
    </row>
    <row r="1324" spans="2:19" ht="13.5" hidden="1" thickBot="1">
      <c r="B1324" s="609">
        <v>93669</v>
      </c>
      <c r="C1324" s="610" t="s">
        <v>843</v>
      </c>
      <c r="D1324" s="611" t="s">
        <v>1460</v>
      </c>
      <c r="E1324" s="602"/>
      <c r="F1324" s="603"/>
      <c r="G1324" s="604"/>
      <c r="H1324" s="605"/>
      <c r="I1324" s="675">
        <v>76.930000000000007</v>
      </c>
      <c r="J1324" s="675">
        <f t="shared" si="289"/>
        <v>76.930000000000007</v>
      </c>
      <c r="K1324" s="606">
        <f t="shared" si="286"/>
        <v>93.35</v>
      </c>
      <c r="L1324" s="389" t="s">
        <v>21</v>
      </c>
      <c r="M1324" s="30"/>
      <c r="N1324" s="30"/>
      <c r="O1324" s="287">
        <f t="shared" si="287"/>
        <v>0</v>
      </c>
      <c r="P1324" s="287">
        <f t="shared" si="288"/>
        <v>0</v>
      </c>
      <c r="Q1324" s="288"/>
      <c r="R1324" s="243"/>
      <c r="S1324" s="385" t="str">
        <f t="shared" si="285"/>
        <v/>
      </c>
    </row>
    <row r="1325" spans="2:19" ht="13.5" hidden="1" thickBot="1">
      <c r="B1325" s="609">
        <v>93670</v>
      </c>
      <c r="C1325" s="610" t="s">
        <v>843</v>
      </c>
      <c r="D1325" s="611" t="s">
        <v>1461</v>
      </c>
      <c r="E1325" s="602"/>
      <c r="F1325" s="603"/>
      <c r="G1325" s="604"/>
      <c r="H1325" s="605"/>
      <c r="I1325" s="675">
        <v>76.930000000000007</v>
      </c>
      <c r="J1325" s="675">
        <f t="shared" si="289"/>
        <v>76.930000000000007</v>
      </c>
      <c r="K1325" s="606">
        <f t="shared" si="286"/>
        <v>93.35</v>
      </c>
      <c r="L1325" s="389" t="s">
        <v>21</v>
      </c>
      <c r="M1325" s="30"/>
      <c r="N1325" s="30"/>
      <c r="O1325" s="287">
        <f t="shared" si="287"/>
        <v>0</v>
      </c>
      <c r="P1325" s="287">
        <f t="shared" si="288"/>
        <v>0</v>
      </c>
      <c r="Q1325" s="288"/>
      <c r="R1325" s="243"/>
      <c r="S1325" s="385" t="str">
        <f t="shared" si="285"/>
        <v/>
      </c>
    </row>
    <row r="1326" spans="2:19" ht="13.5" hidden="1" thickBot="1">
      <c r="B1326" s="609">
        <v>93671</v>
      </c>
      <c r="C1326" s="610" t="s">
        <v>843</v>
      </c>
      <c r="D1326" s="611" t="s">
        <v>1462</v>
      </c>
      <c r="E1326" s="602"/>
      <c r="F1326" s="603"/>
      <c r="G1326" s="604"/>
      <c r="H1326" s="605"/>
      <c r="I1326" s="675">
        <v>80.91</v>
      </c>
      <c r="J1326" s="675">
        <f t="shared" si="289"/>
        <v>80.91</v>
      </c>
      <c r="K1326" s="606">
        <f t="shared" si="286"/>
        <v>98.18</v>
      </c>
      <c r="L1326" s="389" t="s">
        <v>21</v>
      </c>
      <c r="M1326" s="30"/>
      <c r="N1326" s="30"/>
      <c r="O1326" s="287">
        <f t="shared" si="287"/>
        <v>0</v>
      </c>
      <c r="P1326" s="287">
        <f t="shared" si="288"/>
        <v>0</v>
      </c>
      <c r="Q1326" s="288"/>
      <c r="R1326" s="243"/>
      <c r="S1326" s="385" t="str">
        <f t="shared" si="285"/>
        <v/>
      </c>
    </row>
    <row r="1327" spans="2:19" ht="13.5" hidden="1" thickBot="1">
      <c r="B1327" s="609">
        <v>93672</v>
      </c>
      <c r="C1327" s="610" t="s">
        <v>843</v>
      </c>
      <c r="D1327" s="611" t="s">
        <v>1463</v>
      </c>
      <c r="E1327" s="602"/>
      <c r="F1327" s="603"/>
      <c r="G1327" s="604"/>
      <c r="H1327" s="605"/>
      <c r="I1327" s="675">
        <v>87.2</v>
      </c>
      <c r="J1327" s="675">
        <f t="shared" si="289"/>
        <v>87.2</v>
      </c>
      <c r="K1327" s="606">
        <f t="shared" si="286"/>
        <v>105.82</v>
      </c>
      <c r="L1327" s="389" t="s">
        <v>21</v>
      </c>
      <c r="M1327" s="30"/>
      <c r="N1327" s="30"/>
      <c r="O1327" s="287">
        <f t="shared" si="287"/>
        <v>0</v>
      </c>
      <c r="P1327" s="287">
        <f t="shared" si="288"/>
        <v>0</v>
      </c>
      <c r="Q1327" s="288"/>
      <c r="R1327" s="243"/>
      <c r="S1327" s="385" t="str">
        <f t="shared" si="285"/>
        <v/>
      </c>
    </row>
    <row r="1328" spans="2:19" ht="13.5" hidden="1" thickBot="1">
      <c r="B1328" s="609">
        <v>93673</v>
      </c>
      <c r="C1328" s="610" t="s">
        <v>843</v>
      </c>
      <c r="D1328" s="611" t="s">
        <v>1464</v>
      </c>
      <c r="E1328" s="602"/>
      <c r="F1328" s="603"/>
      <c r="G1328" s="604"/>
      <c r="H1328" s="605"/>
      <c r="I1328" s="675">
        <v>95.3</v>
      </c>
      <c r="J1328" s="675">
        <f t="shared" si="289"/>
        <v>95.3</v>
      </c>
      <c r="K1328" s="606">
        <f t="shared" si="286"/>
        <v>115.65</v>
      </c>
      <c r="L1328" s="389" t="s">
        <v>21</v>
      </c>
      <c r="M1328" s="30"/>
      <c r="N1328" s="30"/>
      <c r="O1328" s="287">
        <f t="shared" si="287"/>
        <v>0</v>
      </c>
      <c r="P1328" s="287">
        <f t="shared" si="288"/>
        <v>0</v>
      </c>
      <c r="Q1328" s="288"/>
      <c r="R1328" s="243"/>
      <c r="S1328" s="385" t="str">
        <f t="shared" si="285"/>
        <v/>
      </c>
    </row>
    <row r="1329" spans="2:19" ht="26.25" hidden="1" thickBot="1">
      <c r="B1329" s="609">
        <v>101893</v>
      </c>
      <c r="C1329" s="610" t="s">
        <v>843</v>
      </c>
      <c r="D1329" s="611" t="s">
        <v>1465</v>
      </c>
      <c r="E1329" s="602"/>
      <c r="F1329" s="603"/>
      <c r="G1329" s="604"/>
      <c r="H1329" s="605"/>
      <c r="I1329" s="675">
        <v>92.32</v>
      </c>
      <c r="J1329" s="675">
        <f t="shared" si="289"/>
        <v>92.32</v>
      </c>
      <c r="K1329" s="606">
        <f t="shared" si="286"/>
        <v>112.03</v>
      </c>
      <c r="L1329" s="389" t="s">
        <v>21</v>
      </c>
      <c r="M1329" s="30"/>
      <c r="N1329" s="30"/>
      <c r="O1329" s="287">
        <f t="shared" si="287"/>
        <v>0</v>
      </c>
      <c r="P1329" s="287">
        <f t="shared" si="288"/>
        <v>0</v>
      </c>
      <c r="Q1329" s="288"/>
      <c r="R1329" s="243"/>
      <c r="S1329" s="385" t="str">
        <f t="shared" si="285"/>
        <v/>
      </c>
    </row>
    <row r="1330" spans="2:19" ht="26.25" hidden="1" thickBot="1">
      <c r="B1330" s="609">
        <v>101894</v>
      </c>
      <c r="C1330" s="610" t="s">
        <v>843</v>
      </c>
      <c r="D1330" s="611" t="s">
        <v>1466</v>
      </c>
      <c r="E1330" s="602"/>
      <c r="F1330" s="603"/>
      <c r="G1330" s="604"/>
      <c r="H1330" s="605"/>
      <c r="I1330" s="675">
        <v>155.05000000000001</v>
      </c>
      <c r="J1330" s="675">
        <f t="shared" si="289"/>
        <v>155.05000000000001</v>
      </c>
      <c r="K1330" s="606">
        <f t="shared" si="286"/>
        <v>188.15</v>
      </c>
      <c r="L1330" s="389" t="s">
        <v>21</v>
      </c>
      <c r="M1330" s="30"/>
      <c r="N1330" s="30"/>
      <c r="O1330" s="287">
        <f t="shared" si="287"/>
        <v>0</v>
      </c>
      <c r="P1330" s="287">
        <f t="shared" si="288"/>
        <v>0</v>
      </c>
      <c r="Q1330" s="288"/>
      <c r="R1330" s="243"/>
      <c r="S1330" s="385" t="str">
        <f t="shared" si="285"/>
        <v/>
      </c>
    </row>
    <row r="1331" spans="2:19" ht="13.5" hidden="1" thickBot="1">
      <c r="B1331" s="609">
        <v>101663</v>
      </c>
      <c r="C1331" s="610" t="s">
        <v>843</v>
      </c>
      <c r="D1331" s="611" t="s">
        <v>1467</v>
      </c>
      <c r="E1331" s="602"/>
      <c r="F1331" s="603"/>
      <c r="G1331" s="604"/>
      <c r="H1331" s="605"/>
      <c r="I1331" s="675">
        <v>22.44</v>
      </c>
      <c r="J1331" s="675">
        <f t="shared" si="289"/>
        <v>22.44</v>
      </c>
      <c r="K1331" s="606">
        <f t="shared" si="286"/>
        <v>27.23</v>
      </c>
      <c r="L1331" s="389" t="s">
        <v>21</v>
      </c>
      <c r="M1331" s="30"/>
      <c r="N1331" s="30"/>
      <c r="O1331" s="287">
        <f t="shared" si="287"/>
        <v>0</v>
      </c>
      <c r="P1331" s="287">
        <f t="shared" si="288"/>
        <v>0</v>
      </c>
      <c r="Q1331" s="288"/>
      <c r="R1331" s="243"/>
      <c r="S1331" s="385" t="str">
        <f t="shared" si="285"/>
        <v/>
      </c>
    </row>
    <row r="1332" spans="2:19" ht="13.5" hidden="1" thickBot="1">
      <c r="B1332" s="609">
        <v>101664</v>
      </c>
      <c r="C1332" s="610" t="s">
        <v>843</v>
      </c>
      <c r="D1332" s="611" t="s">
        <v>1468</v>
      </c>
      <c r="E1332" s="602"/>
      <c r="F1332" s="603"/>
      <c r="G1332" s="604"/>
      <c r="H1332" s="605"/>
      <c r="I1332" s="675">
        <v>23.3</v>
      </c>
      <c r="J1332" s="675">
        <f t="shared" si="289"/>
        <v>23.3</v>
      </c>
      <c r="K1332" s="606">
        <f t="shared" si="286"/>
        <v>28.27</v>
      </c>
      <c r="L1332" s="389" t="s">
        <v>21</v>
      </c>
      <c r="M1332" s="30"/>
      <c r="N1332" s="30"/>
      <c r="O1332" s="287">
        <f t="shared" si="287"/>
        <v>0</v>
      </c>
      <c r="P1332" s="287">
        <f t="shared" si="288"/>
        <v>0</v>
      </c>
      <c r="Q1332" s="288"/>
      <c r="R1332" s="243"/>
      <c r="S1332" s="385" t="str">
        <f t="shared" si="285"/>
        <v/>
      </c>
    </row>
    <row r="1333" spans="2:19" ht="13.5" hidden="1" thickBot="1">
      <c r="B1333" s="609">
        <v>101665</v>
      </c>
      <c r="C1333" s="610" t="s">
        <v>843</v>
      </c>
      <c r="D1333" s="611" t="s">
        <v>1469</v>
      </c>
      <c r="E1333" s="602"/>
      <c r="F1333" s="603"/>
      <c r="G1333" s="604"/>
      <c r="H1333" s="605"/>
      <c r="I1333" s="675">
        <v>27</v>
      </c>
      <c r="J1333" s="675">
        <f t="shared" si="289"/>
        <v>27</v>
      </c>
      <c r="K1333" s="606">
        <f t="shared" si="286"/>
        <v>32.76</v>
      </c>
      <c r="L1333" s="389" t="s">
        <v>21</v>
      </c>
      <c r="M1333" s="30"/>
      <c r="N1333" s="30"/>
      <c r="O1333" s="287">
        <f t="shared" si="287"/>
        <v>0</v>
      </c>
      <c r="P1333" s="287">
        <f t="shared" si="288"/>
        <v>0</v>
      </c>
      <c r="Q1333" s="288"/>
      <c r="R1333" s="243"/>
      <c r="S1333" s="385" t="str">
        <f t="shared" si="285"/>
        <v/>
      </c>
    </row>
    <row r="1334" spans="2:19" ht="26.25" hidden="1" thickBot="1">
      <c r="B1334" s="609">
        <v>101895</v>
      </c>
      <c r="C1334" s="610" t="s">
        <v>843</v>
      </c>
      <c r="D1334" s="611" t="s">
        <v>1470</v>
      </c>
      <c r="E1334" s="602"/>
      <c r="F1334" s="603"/>
      <c r="G1334" s="604"/>
      <c r="H1334" s="605"/>
      <c r="I1334" s="675">
        <v>426.1</v>
      </c>
      <c r="J1334" s="675">
        <f t="shared" si="289"/>
        <v>426.1</v>
      </c>
      <c r="K1334" s="606">
        <f t="shared" si="286"/>
        <v>517.07000000000005</v>
      </c>
      <c r="L1334" s="389" t="s">
        <v>21</v>
      </c>
      <c r="M1334" s="30"/>
      <c r="N1334" s="30"/>
      <c r="O1334" s="287">
        <f t="shared" si="287"/>
        <v>0</v>
      </c>
      <c r="P1334" s="287">
        <f t="shared" si="288"/>
        <v>0</v>
      </c>
      <c r="Q1334" s="288"/>
      <c r="R1334" s="243"/>
      <c r="S1334" s="385" t="str">
        <f t="shared" si="285"/>
        <v/>
      </c>
    </row>
    <row r="1335" spans="2:19" ht="26.25" hidden="1" thickBot="1">
      <c r="B1335" s="609">
        <v>101896</v>
      </c>
      <c r="C1335" s="610" t="s">
        <v>843</v>
      </c>
      <c r="D1335" s="611" t="s">
        <v>1471</v>
      </c>
      <c r="E1335" s="602"/>
      <c r="F1335" s="603"/>
      <c r="G1335" s="604"/>
      <c r="H1335" s="605"/>
      <c r="I1335" s="675">
        <v>642.35</v>
      </c>
      <c r="J1335" s="675">
        <f t="shared" si="289"/>
        <v>642.35</v>
      </c>
      <c r="K1335" s="606">
        <f t="shared" si="286"/>
        <v>779.49</v>
      </c>
      <c r="L1335" s="389" t="s">
        <v>21</v>
      </c>
      <c r="M1335" s="30"/>
      <c r="N1335" s="30"/>
      <c r="O1335" s="287">
        <f t="shared" si="287"/>
        <v>0</v>
      </c>
      <c r="P1335" s="287">
        <f t="shared" si="288"/>
        <v>0</v>
      </c>
      <c r="Q1335" s="288"/>
      <c r="R1335" s="243"/>
      <c r="S1335" s="385" t="str">
        <f t="shared" si="285"/>
        <v/>
      </c>
    </row>
    <row r="1336" spans="2:19" ht="26.25" hidden="1" thickBot="1">
      <c r="B1336" s="609">
        <v>101897</v>
      </c>
      <c r="C1336" s="610" t="s">
        <v>843</v>
      </c>
      <c r="D1336" s="611" t="s">
        <v>1472</v>
      </c>
      <c r="E1336" s="602"/>
      <c r="F1336" s="603"/>
      <c r="G1336" s="604"/>
      <c r="H1336" s="605"/>
      <c r="I1336" s="675">
        <v>1029.9100000000001</v>
      </c>
      <c r="J1336" s="675">
        <f t="shared" si="289"/>
        <v>1029.9100000000001</v>
      </c>
      <c r="K1336" s="606">
        <f t="shared" si="286"/>
        <v>1249.8</v>
      </c>
      <c r="L1336" s="389" t="s">
        <v>21</v>
      </c>
      <c r="M1336" s="30"/>
      <c r="N1336" s="30"/>
      <c r="O1336" s="287">
        <f t="shared" si="287"/>
        <v>0</v>
      </c>
      <c r="P1336" s="287">
        <f t="shared" si="288"/>
        <v>0</v>
      </c>
      <c r="Q1336" s="288"/>
      <c r="R1336" s="243"/>
      <c r="S1336" s="385" t="str">
        <f t="shared" si="285"/>
        <v/>
      </c>
    </row>
    <row r="1337" spans="2:19" ht="26.25" hidden="1" thickBot="1">
      <c r="B1337" s="609">
        <v>101898</v>
      </c>
      <c r="C1337" s="610" t="s">
        <v>843</v>
      </c>
      <c r="D1337" s="611" t="s">
        <v>1473</v>
      </c>
      <c r="E1337" s="602"/>
      <c r="F1337" s="603"/>
      <c r="G1337" s="604"/>
      <c r="H1337" s="605"/>
      <c r="I1337" s="675">
        <v>1381.42</v>
      </c>
      <c r="J1337" s="675">
        <f t="shared" si="289"/>
        <v>1381.42</v>
      </c>
      <c r="K1337" s="606">
        <f t="shared" si="286"/>
        <v>1676.35</v>
      </c>
      <c r="L1337" s="389" t="s">
        <v>21</v>
      </c>
      <c r="M1337" s="30"/>
      <c r="N1337" s="30"/>
      <c r="O1337" s="287">
        <f t="shared" si="287"/>
        <v>0</v>
      </c>
      <c r="P1337" s="287">
        <f t="shared" si="288"/>
        <v>0</v>
      </c>
      <c r="Q1337" s="288"/>
      <c r="R1337" s="243"/>
      <c r="S1337" s="385" t="str">
        <f t="shared" si="285"/>
        <v/>
      </c>
    </row>
    <row r="1338" spans="2:19" ht="26.25" hidden="1" thickBot="1">
      <c r="B1338" s="609">
        <v>101899</v>
      </c>
      <c r="C1338" s="610" t="s">
        <v>843</v>
      </c>
      <c r="D1338" s="611" t="s">
        <v>1474</v>
      </c>
      <c r="E1338" s="602"/>
      <c r="F1338" s="603"/>
      <c r="G1338" s="604"/>
      <c r="H1338" s="605"/>
      <c r="I1338" s="675">
        <v>2217.54</v>
      </c>
      <c r="J1338" s="675">
        <f t="shared" si="289"/>
        <v>2217.54</v>
      </c>
      <c r="K1338" s="606">
        <f t="shared" si="286"/>
        <v>2690.98</v>
      </c>
      <c r="L1338" s="389" t="s">
        <v>21</v>
      </c>
      <c r="M1338" s="30"/>
      <c r="N1338" s="30"/>
      <c r="O1338" s="287">
        <f t="shared" si="287"/>
        <v>0</v>
      </c>
      <c r="P1338" s="287">
        <f t="shared" si="288"/>
        <v>0</v>
      </c>
      <c r="Q1338" s="288"/>
      <c r="R1338" s="243"/>
      <c r="S1338" s="385" t="str">
        <f t="shared" si="285"/>
        <v/>
      </c>
    </row>
    <row r="1339" spans="2:19" ht="13.5" hidden="1" thickBot="1">
      <c r="B1339" s="609">
        <v>101900</v>
      </c>
      <c r="C1339" s="610" t="s">
        <v>843</v>
      </c>
      <c r="D1339" s="611" t="s">
        <v>1475</v>
      </c>
      <c r="E1339" s="602"/>
      <c r="F1339" s="603"/>
      <c r="G1339" s="604"/>
      <c r="H1339" s="605"/>
      <c r="I1339" s="675">
        <v>4639.3</v>
      </c>
      <c r="J1339" s="675">
        <f t="shared" si="289"/>
        <v>4639.3</v>
      </c>
      <c r="K1339" s="606">
        <f t="shared" si="286"/>
        <v>5629.79</v>
      </c>
      <c r="L1339" s="389" t="s">
        <v>21</v>
      </c>
      <c r="M1339" s="30"/>
      <c r="N1339" s="30"/>
      <c r="O1339" s="287">
        <f t="shared" si="287"/>
        <v>0</v>
      </c>
      <c r="P1339" s="287">
        <f t="shared" si="288"/>
        <v>0</v>
      </c>
      <c r="Q1339" s="288"/>
      <c r="R1339" s="243"/>
      <c r="S1339" s="385" t="str">
        <f t="shared" si="285"/>
        <v/>
      </c>
    </row>
    <row r="1340" spans="2:19" ht="26.25" hidden="1" thickBot="1">
      <c r="B1340" s="609">
        <v>91952</v>
      </c>
      <c r="C1340" s="610" t="s">
        <v>843</v>
      </c>
      <c r="D1340" s="611" t="s">
        <v>1476</v>
      </c>
      <c r="E1340" s="602"/>
      <c r="F1340" s="603"/>
      <c r="G1340" s="604"/>
      <c r="H1340" s="605"/>
      <c r="I1340" s="675">
        <v>17.21</v>
      </c>
      <c r="J1340" s="675">
        <f t="shared" si="289"/>
        <v>17.21</v>
      </c>
      <c r="K1340" s="606">
        <f t="shared" si="286"/>
        <v>20.88</v>
      </c>
      <c r="L1340" s="389" t="s">
        <v>21</v>
      </c>
      <c r="M1340" s="30"/>
      <c r="N1340" s="30"/>
      <c r="O1340" s="287">
        <f t="shared" si="287"/>
        <v>0</v>
      </c>
      <c r="P1340" s="287">
        <f t="shared" si="288"/>
        <v>0</v>
      </c>
      <c r="Q1340" s="288"/>
      <c r="R1340" s="243"/>
      <c r="S1340" s="385" t="str">
        <f t="shared" ref="S1340:S1403" si="290">IF(R1340="x","x",IF(R1340="y","x",IF(R1340="xy","x",IF(P1340&gt;0,"x",""))))</f>
        <v/>
      </c>
    </row>
    <row r="1341" spans="2:19" ht="26.25" hidden="1" thickBot="1">
      <c r="B1341" s="609">
        <v>91953</v>
      </c>
      <c r="C1341" s="610" t="s">
        <v>843</v>
      </c>
      <c r="D1341" s="611" t="s">
        <v>1477</v>
      </c>
      <c r="E1341" s="602"/>
      <c r="F1341" s="603"/>
      <c r="G1341" s="604"/>
      <c r="H1341" s="605"/>
      <c r="I1341" s="675">
        <v>24.93</v>
      </c>
      <c r="J1341" s="675">
        <f t="shared" si="289"/>
        <v>24.93</v>
      </c>
      <c r="K1341" s="606">
        <f t="shared" si="286"/>
        <v>30.25</v>
      </c>
      <c r="L1341" s="389" t="s">
        <v>21</v>
      </c>
      <c r="M1341" s="30"/>
      <c r="N1341" s="30"/>
      <c r="O1341" s="287">
        <f t="shared" si="287"/>
        <v>0</v>
      </c>
      <c r="P1341" s="287">
        <f t="shared" si="288"/>
        <v>0</v>
      </c>
      <c r="Q1341" s="288"/>
      <c r="R1341" s="243"/>
      <c r="S1341" s="385" t="str">
        <f t="shared" si="290"/>
        <v/>
      </c>
    </row>
    <row r="1342" spans="2:19" ht="26.25" hidden="1" thickBot="1">
      <c r="B1342" s="609">
        <v>91956</v>
      </c>
      <c r="C1342" s="610" t="s">
        <v>843</v>
      </c>
      <c r="D1342" s="611" t="s">
        <v>1478</v>
      </c>
      <c r="E1342" s="602"/>
      <c r="F1342" s="603"/>
      <c r="G1342" s="604"/>
      <c r="H1342" s="605"/>
      <c r="I1342" s="675">
        <v>37.58</v>
      </c>
      <c r="J1342" s="675">
        <f t="shared" si="289"/>
        <v>37.58</v>
      </c>
      <c r="K1342" s="606">
        <f t="shared" si="286"/>
        <v>45.6</v>
      </c>
      <c r="L1342" s="389" t="s">
        <v>21</v>
      </c>
      <c r="M1342" s="30"/>
      <c r="N1342" s="30"/>
      <c r="O1342" s="287">
        <f t="shared" si="287"/>
        <v>0</v>
      </c>
      <c r="P1342" s="287">
        <f t="shared" si="288"/>
        <v>0</v>
      </c>
      <c r="Q1342" s="288"/>
      <c r="R1342" s="243"/>
      <c r="S1342" s="385" t="str">
        <f t="shared" si="290"/>
        <v/>
      </c>
    </row>
    <row r="1343" spans="2:19" ht="26.25" hidden="1" thickBot="1">
      <c r="B1343" s="609">
        <v>91957</v>
      </c>
      <c r="C1343" s="610" t="s">
        <v>843</v>
      </c>
      <c r="D1343" s="611" t="s">
        <v>1479</v>
      </c>
      <c r="E1343" s="602"/>
      <c r="F1343" s="603"/>
      <c r="G1343" s="604"/>
      <c r="H1343" s="605"/>
      <c r="I1343" s="675">
        <v>45.3</v>
      </c>
      <c r="J1343" s="675">
        <f t="shared" si="289"/>
        <v>45.3</v>
      </c>
      <c r="K1343" s="606">
        <f t="shared" si="286"/>
        <v>54.97</v>
      </c>
      <c r="L1343" s="389" t="s">
        <v>21</v>
      </c>
      <c r="M1343" s="30"/>
      <c r="N1343" s="30"/>
      <c r="O1343" s="287">
        <f t="shared" si="287"/>
        <v>0</v>
      </c>
      <c r="P1343" s="287">
        <f t="shared" si="288"/>
        <v>0</v>
      </c>
      <c r="Q1343" s="288"/>
      <c r="R1343" s="243"/>
      <c r="S1343" s="385" t="str">
        <f t="shared" si="290"/>
        <v/>
      </c>
    </row>
    <row r="1344" spans="2:19" ht="26.25" hidden="1" thickBot="1">
      <c r="B1344" s="609">
        <v>91958</v>
      </c>
      <c r="C1344" s="610" t="s">
        <v>843</v>
      </c>
      <c r="D1344" s="611" t="s">
        <v>1480</v>
      </c>
      <c r="E1344" s="602"/>
      <c r="F1344" s="603"/>
      <c r="G1344" s="604"/>
      <c r="H1344" s="605"/>
      <c r="I1344" s="675">
        <v>31.74</v>
      </c>
      <c r="J1344" s="675">
        <f t="shared" si="289"/>
        <v>31.74</v>
      </c>
      <c r="K1344" s="606">
        <f t="shared" si="286"/>
        <v>38.520000000000003</v>
      </c>
      <c r="L1344" s="389" t="s">
        <v>21</v>
      </c>
      <c r="M1344" s="30"/>
      <c r="N1344" s="30"/>
      <c r="O1344" s="287">
        <f t="shared" si="287"/>
        <v>0</v>
      </c>
      <c r="P1344" s="287">
        <f t="shared" si="288"/>
        <v>0</v>
      </c>
      <c r="Q1344" s="288"/>
      <c r="R1344" s="243"/>
      <c r="S1344" s="385" t="str">
        <f t="shared" si="290"/>
        <v/>
      </c>
    </row>
    <row r="1345" spans="2:19" ht="26.25" hidden="1" thickBot="1">
      <c r="B1345" s="609">
        <v>91959</v>
      </c>
      <c r="C1345" s="610" t="s">
        <v>843</v>
      </c>
      <c r="D1345" s="611" t="s">
        <v>1481</v>
      </c>
      <c r="E1345" s="602"/>
      <c r="F1345" s="603"/>
      <c r="G1345" s="604"/>
      <c r="H1345" s="605"/>
      <c r="I1345" s="675">
        <v>39.46</v>
      </c>
      <c r="J1345" s="675">
        <f t="shared" si="289"/>
        <v>39.46</v>
      </c>
      <c r="K1345" s="606">
        <f t="shared" si="286"/>
        <v>47.88</v>
      </c>
      <c r="L1345" s="389" t="s">
        <v>21</v>
      </c>
      <c r="M1345" s="30"/>
      <c r="N1345" s="30"/>
      <c r="O1345" s="287">
        <f t="shared" si="287"/>
        <v>0</v>
      </c>
      <c r="P1345" s="287">
        <f t="shared" si="288"/>
        <v>0</v>
      </c>
      <c r="Q1345" s="288"/>
      <c r="R1345" s="243"/>
      <c r="S1345" s="385" t="str">
        <f t="shared" si="290"/>
        <v/>
      </c>
    </row>
    <row r="1346" spans="2:19" ht="26.25" hidden="1" thickBot="1">
      <c r="B1346" s="609">
        <v>91962</v>
      </c>
      <c r="C1346" s="610" t="s">
        <v>843</v>
      </c>
      <c r="D1346" s="611" t="s">
        <v>1482</v>
      </c>
      <c r="E1346" s="602"/>
      <c r="F1346" s="603"/>
      <c r="G1346" s="604"/>
      <c r="H1346" s="605"/>
      <c r="I1346" s="675">
        <v>57.99</v>
      </c>
      <c r="J1346" s="675">
        <f t="shared" si="289"/>
        <v>57.99</v>
      </c>
      <c r="K1346" s="606">
        <f t="shared" si="286"/>
        <v>70.37</v>
      </c>
      <c r="L1346" s="389" t="s">
        <v>21</v>
      </c>
      <c r="M1346" s="30"/>
      <c r="N1346" s="30"/>
      <c r="O1346" s="287">
        <f t="shared" si="287"/>
        <v>0</v>
      </c>
      <c r="P1346" s="287">
        <f t="shared" si="288"/>
        <v>0</v>
      </c>
      <c r="Q1346" s="288"/>
      <c r="R1346" s="243"/>
      <c r="S1346" s="385" t="str">
        <f t="shared" si="290"/>
        <v/>
      </c>
    </row>
    <row r="1347" spans="2:19" ht="26.25" hidden="1" thickBot="1">
      <c r="B1347" s="609">
        <v>91963</v>
      </c>
      <c r="C1347" s="610" t="s">
        <v>843</v>
      </c>
      <c r="D1347" s="611" t="s">
        <v>1483</v>
      </c>
      <c r="E1347" s="602"/>
      <c r="F1347" s="603"/>
      <c r="G1347" s="604"/>
      <c r="H1347" s="605"/>
      <c r="I1347" s="675">
        <v>65.709999999999994</v>
      </c>
      <c r="J1347" s="675">
        <f t="shared" si="289"/>
        <v>65.709999999999994</v>
      </c>
      <c r="K1347" s="606">
        <f t="shared" si="286"/>
        <v>79.739999999999995</v>
      </c>
      <c r="L1347" s="389" t="s">
        <v>21</v>
      </c>
      <c r="M1347" s="30"/>
      <c r="N1347" s="30"/>
      <c r="O1347" s="287">
        <f t="shared" si="287"/>
        <v>0</v>
      </c>
      <c r="P1347" s="287">
        <f t="shared" si="288"/>
        <v>0</v>
      </c>
      <c r="Q1347" s="288"/>
      <c r="R1347" s="243"/>
      <c r="S1347" s="385" t="str">
        <f t="shared" si="290"/>
        <v/>
      </c>
    </row>
    <row r="1348" spans="2:19" ht="26.25" hidden="1" thickBot="1">
      <c r="B1348" s="609">
        <v>91964</v>
      </c>
      <c r="C1348" s="610" t="s">
        <v>843</v>
      </c>
      <c r="D1348" s="611" t="s">
        <v>1484</v>
      </c>
      <c r="E1348" s="602"/>
      <c r="F1348" s="603"/>
      <c r="G1348" s="604"/>
      <c r="H1348" s="605"/>
      <c r="I1348" s="675">
        <v>52.11</v>
      </c>
      <c r="J1348" s="675">
        <f t="shared" si="289"/>
        <v>52.11</v>
      </c>
      <c r="K1348" s="606">
        <f t="shared" si="286"/>
        <v>63.24</v>
      </c>
      <c r="L1348" s="389" t="s">
        <v>21</v>
      </c>
      <c r="M1348" s="30"/>
      <c r="N1348" s="30"/>
      <c r="O1348" s="287">
        <f t="shared" si="287"/>
        <v>0</v>
      </c>
      <c r="P1348" s="287">
        <f t="shared" si="288"/>
        <v>0</v>
      </c>
      <c r="Q1348" s="288"/>
      <c r="R1348" s="243"/>
      <c r="S1348" s="385" t="str">
        <f t="shared" si="290"/>
        <v/>
      </c>
    </row>
    <row r="1349" spans="2:19" ht="26.25" hidden="1" thickBot="1">
      <c r="B1349" s="609">
        <v>91965</v>
      </c>
      <c r="C1349" s="610" t="s">
        <v>843</v>
      </c>
      <c r="D1349" s="611" t="s">
        <v>1485</v>
      </c>
      <c r="E1349" s="602"/>
      <c r="F1349" s="603"/>
      <c r="G1349" s="604"/>
      <c r="H1349" s="605"/>
      <c r="I1349" s="675">
        <v>59.83</v>
      </c>
      <c r="J1349" s="675">
        <f t="shared" si="289"/>
        <v>59.83</v>
      </c>
      <c r="K1349" s="606">
        <f t="shared" si="286"/>
        <v>72.599999999999994</v>
      </c>
      <c r="L1349" s="389" t="s">
        <v>21</v>
      </c>
      <c r="M1349" s="30"/>
      <c r="N1349" s="30"/>
      <c r="O1349" s="287">
        <f t="shared" si="287"/>
        <v>0</v>
      </c>
      <c r="P1349" s="287">
        <f t="shared" si="288"/>
        <v>0</v>
      </c>
      <c r="Q1349" s="288"/>
      <c r="R1349" s="243"/>
      <c r="S1349" s="385" t="str">
        <f t="shared" si="290"/>
        <v/>
      </c>
    </row>
    <row r="1350" spans="2:19" ht="26.25" hidden="1" thickBot="1">
      <c r="B1350" s="609">
        <v>91966</v>
      </c>
      <c r="C1350" s="610" t="s">
        <v>843</v>
      </c>
      <c r="D1350" s="611" t="s">
        <v>1486</v>
      </c>
      <c r="E1350" s="602"/>
      <c r="F1350" s="603"/>
      <c r="G1350" s="604"/>
      <c r="H1350" s="605"/>
      <c r="I1350" s="675">
        <v>46.26</v>
      </c>
      <c r="J1350" s="675">
        <f t="shared" si="289"/>
        <v>46.26</v>
      </c>
      <c r="K1350" s="606">
        <f t="shared" si="286"/>
        <v>56.14</v>
      </c>
      <c r="L1350" s="389" t="s">
        <v>21</v>
      </c>
      <c r="M1350" s="30"/>
      <c r="N1350" s="30"/>
      <c r="O1350" s="287">
        <f t="shared" si="287"/>
        <v>0</v>
      </c>
      <c r="P1350" s="287">
        <f t="shared" si="288"/>
        <v>0</v>
      </c>
      <c r="Q1350" s="288"/>
      <c r="R1350" s="243"/>
      <c r="S1350" s="385" t="str">
        <f t="shared" si="290"/>
        <v/>
      </c>
    </row>
    <row r="1351" spans="2:19" ht="26.25" hidden="1" thickBot="1">
      <c r="B1351" s="609">
        <v>91967</v>
      </c>
      <c r="C1351" s="610" t="s">
        <v>843</v>
      </c>
      <c r="D1351" s="611" t="s">
        <v>1487</v>
      </c>
      <c r="E1351" s="602"/>
      <c r="F1351" s="603"/>
      <c r="G1351" s="604"/>
      <c r="H1351" s="605"/>
      <c r="I1351" s="675">
        <v>53.98</v>
      </c>
      <c r="J1351" s="675">
        <f t="shared" si="289"/>
        <v>53.98</v>
      </c>
      <c r="K1351" s="606">
        <f t="shared" si="286"/>
        <v>65.5</v>
      </c>
      <c r="L1351" s="389" t="s">
        <v>21</v>
      </c>
      <c r="M1351" s="30"/>
      <c r="N1351" s="30"/>
      <c r="O1351" s="287">
        <f t="shared" si="287"/>
        <v>0</v>
      </c>
      <c r="P1351" s="287">
        <f t="shared" si="288"/>
        <v>0</v>
      </c>
      <c r="Q1351" s="288"/>
      <c r="R1351" s="243"/>
      <c r="S1351" s="385" t="str">
        <f t="shared" si="290"/>
        <v/>
      </c>
    </row>
    <row r="1352" spans="2:19" ht="26.25" hidden="1" thickBot="1">
      <c r="B1352" s="609">
        <v>91970</v>
      </c>
      <c r="C1352" s="610" t="s">
        <v>843</v>
      </c>
      <c r="D1352" s="611" t="s">
        <v>1488</v>
      </c>
      <c r="E1352" s="602"/>
      <c r="F1352" s="603"/>
      <c r="G1352" s="604"/>
      <c r="H1352" s="605"/>
      <c r="I1352" s="675">
        <v>66.95</v>
      </c>
      <c r="J1352" s="675">
        <f t="shared" si="289"/>
        <v>66.95</v>
      </c>
      <c r="K1352" s="606">
        <f t="shared" si="286"/>
        <v>81.239999999999995</v>
      </c>
      <c r="L1352" s="389" t="s">
        <v>21</v>
      </c>
      <c r="M1352" s="30"/>
      <c r="N1352" s="30"/>
      <c r="O1352" s="287">
        <f t="shared" si="287"/>
        <v>0</v>
      </c>
      <c r="P1352" s="287">
        <f t="shared" si="288"/>
        <v>0</v>
      </c>
      <c r="Q1352" s="288"/>
      <c r="R1352" s="243"/>
      <c r="S1352" s="385" t="str">
        <f t="shared" si="290"/>
        <v/>
      </c>
    </row>
    <row r="1353" spans="2:19" ht="26.25" hidden="1" thickBot="1">
      <c r="B1353" s="609">
        <v>91971</v>
      </c>
      <c r="C1353" s="610" t="s">
        <v>843</v>
      </c>
      <c r="D1353" s="611" t="s">
        <v>1489</v>
      </c>
      <c r="E1353" s="602"/>
      <c r="F1353" s="603"/>
      <c r="G1353" s="604"/>
      <c r="H1353" s="605"/>
      <c r="I1353" s="675">
        <v>79.319999999999993</v>
      </c>
      <c r="J1353" s="675">
        <f t="shared" si="289"/>
        <v>79.319999999999993</v>
      </c>
      <c r="K1353" s="606">
        <f t="shared" si="286"/>
        <v>96.25</v>
      </c>
      <c r="L1353" s="389" t="s">
        <v>21</v>
      </c>
      <c r="M1353" s="30"/>
      <c r="N1353" s="30"/>
      <c r="O1353" s="287">
        <f t="shared" si="287"/>
        <v>0</v>
      </c>
      <c r="P1353" s="287">
        <f t="shared" si="288"/>
        <v>0</v>
      </c>
      <c r="Q1353" s="288"/>
      <c r="R1353" s="243"/>
      <c r="S1353" s="385" t="str">
        <f t="shared" si="290"/>
        <v/>
      </c>
    </row>
    <row r="1354" spans="2:19" ht="26.25" hidden="1" thickBot="1">
      <c r="B1354" s="609">
        <v>91972</v>
      </c>
      <c r="C1354" s="610" t="s">
        <v>843</v>
      </c>
      <c r="D1354" s="611" t="s">
        <v>1490</v>
      </c>
      <c r="E1354" s="602"/>
      <c r="F1354" s="603"/>
      <c r="G1354" s="604"/>
      <c r="H1354" s="605"/>
      <c r="I1354" s="675">
        <v>72.83</v>
      </c>
      <c r="J1354" s="675">
        <f t="shared" si="289"/>
        <v>72.83</v>
      </c>
      <c r="K1354" s="606">
        <f t="shared" si="286"/>
        <v>88.38</v>
      </c>
      <c r="L1354" s="389" t="s">
        <v>21</v>
      </c>
      <c r="M1354" s="30"/>
      <c r="N1354" s="30"/>
      <c r="O1354" s="287">
        <f t="shared" si="287"/>
        <v>0</v>
      </c>
      <c r="P1354" s="287">
        <f t="shared" si="288"/>
        <v>0</v>
      </c>
      <c r="Q1354" s="288"/>
      <c r="R1354" s="243"/>
      <c r="S1354" s="385" t="str">
        <f t="shared" si="290"/>
        <v/>
      </c>
    </row>
    <row r="1355" spans="2:19" ht="26.25" hidden="1" thickBot="1">
      <c r="B1355" s="609">
        <v>91973</v>
      </c>
      <c r="C1355" s="610" t="s">
        <v>843</v>
      </c>
      <c r="D1355" s="611" t="s">
        <v>1491</v>
      </c>
      <c r="E1355" s="602"/>
      <c r="F1355" s="603"/>
      <c r="G1355" s="604"/>
      <c r="H1355" s="605"/>
      <c r="I1355" s="675">
        <v>85.2</v>
      </c>
      <c r="J1355" s="675">
        <f t="shared" si="289"/>
        <v>85.2</v>
      </c>
      <c r="K1355" s="606">
        <f t="shared" si="286"/>
        <v>103.39</v>
      </c>
      <c r="L1355" s="389" t="s">
        <v>21</v>
      </c>
      <c r="M1355" s="30"/>
      <c r="N1355" s="30"/>
      <c r="O1355" s="287">
        <f t="shared" si="287"/>
        <v>0</v>
      </c>
      <c r="P1355" s="287">
        <f t="shared" si="288"/>
        <v>0</v>
      </c>
      <c r="Q1355" s="288"/>
      <c r="R1355" s="243"/>
      <c r="S1355" s="385" t="str">
        <f t="shared" si="290"/>
        <v/>
      </c>
    </row>
    <row r="1356" spans="2:19" ht="26.25" hidden="1" thickBot="1">
      <c r="B1356" s="609">
        <v>91974</v>
      </c>
      <c r="C1356" s="610" t="s">
        <v>843</v>
      </c>
      <c r="D1356" s="611" t="s">
        <v>1492</v>
      </c>
      <c r="E1356" s="602"/>
      <c r="F1356" s="603"/>
      <c r="G1356" s="604"/>
      <c r="H1356" s="605"/>
      <c r="I1356" s="675">
        <v>61.06</v>
      </c>
      <c r="J1356" s="675">
        <f t="shared" si="289"/>
        <v>61.06</v>
      </c>
      <c r="K1356" s="606">
        <f t="shared" si="286"/>
        <v>74.099999999999994</v>
      </c>
      <c r="L1356" s="389" t="s">
        <v>21</v>
      </c>
      <c r="M1356" s="30"/>
      <c r="N1356" s="30"/>
      <c r="O1356" s="287">
        <f t="shared" si="287"/>
        <v>0</v>
      </c>
      <c r="P1356" s="287">
        <f t="shared" si="288"/>
        <v>0</v>
      </c>
      <c r="Q1356" s="288"/>
      <c r="R1356" s="243"/>
      <c r="S1356" s="385" t="str">
        <f t="shared" si="290"/>
        <v/>
      </c>
    </row>
    <row r="1357" spans="2:19" ht="26.25" hidden="1" thickBot="1">
      <c r="B1357" s="609">
        <v>91975</v>
      </c>
      <c r="C1357" s="610" t="s">
        <v>843</v>
      </c>
      <c r="D1357" s="611" t="s">
        <v>1493</v>
      </c>
      <c r="E1357" s="602"/>
      <c r="F1357" s="603"/>
      <c r="G1357" s="604"/>
      <c r="H1357" s="605"/>
      <c r="I1357" s="675">
        <v>73.430000000000007</v>
      </c>
      <c r="J1357" s="675">
        <f t="shared" si="289"/>
        <v>73.430000000000007</v>
      </c>
      <c r="K1357" s="606">
        <f t="shared" si="286"/>
        <v>89.11</v>
      </c>
      <c r="L1357" s="389" t="s">
        <v>21</v>
      </c>
      <c r="M1357" s="30"/>
      <c r="N1357" s="30"/>
      <c r="O1357" s="287">
        <f t="shared" si="287"/>
        <v>0</v>
      </c>
      <c r="P1357" s="287">
        <f t="shared" si="288"/>
        <v>0</v>
      </c>
      <c r="Q1357" s="288"/>
      <c r="R1357" s="243"/>
      <c r="S1357" s="385" t="str">
        <f t="shared" si="290"/>
        <v/>
      </c>
    </row>
    <row r="1358" spans="2:19" ht="26.25" hidden="1" thickBot="1">
      <c r="B1358" s="609">
        <v>91976</v>
      </c>
      <c r="C1358" s="610" t="s">
        <v>843</v>
      </c>
      <c r="D1358" s="611" t="s">
        <v>1494</v>
      </c>
      <c r="E1358" s="602"/>
      <c r="F1358" s="603"/>
      <c r="G1358" s="604"/>
      <c r="H1358" s="605"/>
      <c r="I1358" s="675">
        <v>90.2</v>
      </c>
      <c r="J1358" s="675">
        <f t="shared" si="289"/>
        <v>90.2</v>
      </c>
      <c r="K1358" s="606">
        <f t="shared" si="286"/>
        <v>109.46</v>
      </c>
      <c r="L1358" s="389" t="s">
        <v>21</v>
      </c>
      <c r="M1358" s="30"/>
      <c r="N1358" s="30"/>
      <c r="O1358" s="287">
        <f t="shared" si="287"/>
        <v>0</v>
      </c>
      <c r="P1358" s="287">
        <f t="shared" si="288"/>
        <v>0</v>
      </c>
      <c r="Q1358" s="288"/>
      <c r="R1358" s="243"/>
      <c r="S1358" s="385" t="str">
        <f t="shared" si="290"/>
        <v/>
      </c>
    </row>
    <row r="1359" spans="2:19" ht="26.25" hidden="1" thickBot="1">
      <c r="B1359" s="609">
        <v>91977</v>
      </c>
      <c r="C1359" s="610" t="s">
        <v>843</v>
      </c>
      <c r="D1359" s="611" t="s">
        <v>1495</v>
      </c>
      <c r="E1359" s="602"/>
      <c r="F1359" s="603"/>
      <c r="G1359" s="604"/>
      <c r="H1359" s="605"/>
      <c r="I1359" s="675">
        <v>102.57</v>
      </c>
      <c r="J1359" s="675">
        <f t="shared" si="289"/>
        <v>102.57</v>
      </c>
      <c r="K1359" s="606">
        <f t="shared" si="286"/>
        <v>124.47</v>
      </c>
      <c r="L1359" s="389" t="s">
        <v>21</v>
      </c>
      <c r="M1359" s="30"/>
      <c r="N1359" s="30"/>
      <c r="O1359" s="287">
        <f t="shared" si="287"/>
        <v>0</v>
      </c>
      <c r="P1359" s="287">
        <f t="shared" si="288"/>
        <v>0</v>
      </c>
      <c r="Q1359" s="288"/>
      <c r="R1359" s="243"/>
      <c r="S1359" s="385" t="str">
        <f t="shared" si="290"/>
        <v/>
      </c>
    </row>
    <row r="1360" spans="2:19" ht="26.25" hidden="1" thickBot="1">
      <c r="B1360" s="609">
        <v>92022</v>
      </c>
      <c r="C1360" s="610" t="s">
        <v>843</v>
      </c>
      <c r="D1360" s="611" t="s">
        <v>1496</v>
      </c>
      <c r="E1360" s="602"/>
      <c r="F1360" s="603"/>
      <c r="G1360" s="604"/>
      <c r="H1360" s="605"/>
      <c r="I1360" s="675">
        <v>36.409999999999997</v>
      </c>
      <c r="J1360" s="675">
        <f t="shared" si="289"/>
        <v>36.409999999999997</v>
      </c>
      <c r="K1360" s="606">
        <f t="shared" si="286"/>
        <v>44.18</v>
      </c>
      <c r="L1360" s="389" t="s">
        <v>21</v>
      </c>
      <c r="M1360" s="30"/>
      <c r="N1360" s="30"/>
      <c r="O1360" s="287">
        <f t="shared" si="287"/>
        <v>0</v>
      </c>
      <c r="P1360" s="287">
        <f t="shared" si="288"/>
        <v>0</v>
      </c>
      <c r="Q1360" s="288"/>
      <c r="R1360" s="243"/>
      <c r="S1360" s="385" t="str">
        <f t="shared" si="290"/>
        <v/>
      </c>
    </row>
    <row r="1361" spans="2:19" ht="26.25" hidden="1" thickBot="1">
      <c r="B1361" s="609">
        <v>92023</v>
      </c>
      <c r="C1361" s="610" t="s">
        <v>843</v>
      </c>
      <c r="D1361" s="611" t="s">
        <v>1497</v>
      </c>
      <c r="E1361" s="602"/>
      <c r="F1361" s="603"/>
      <c r="G1361" s="604"/>
      <c r="H1361" s="605"/>
      <c r="I1361" s="675">
        <v>44.13</v>
      </c>
      <c r="J1361" s="675">
        <f t="shared" si="289"/>
        <v>44.13</v>
      </c>
      <c r="K1361" s="606">
        <f t="shared" ref="K1361:K1424" si="291">IF(ISBLANK(I1361),0,ROUND(J1361*(1+$F$10)*(1+$F$11*E1361),2))</f>
        <v>53.55</v>
      </c>
      <c r="L1361" s="389" t="s">
        <v>21</v>
      </c>
      <c r="M1361" s="30"/>
      <c r="N1361" s="30"/>
      <c r="O1361" s="287">
        <f t="shared" ref="O1361:O1424" si="292">IF(ISBLANK(M1361),0,ROUND(K1361*M1361,2))</f>
        <v>0</v>
      </c>
      <c r="P1361" s="287">
        <f t="shared" ref="P1361:P1424" si="293">IF(ISBLANK(N1361),0,ROUND(M1361*N1361,2))</f>
        <v>0</v>
      </c>
      <c r="Q1361" s="288"/>
      <c r="R1361" s="243"/>
      <c r="S1361" s="385" t="str">
        <f t="shared" si="290"/>
        <v/>
      </c>
    </row>
    <row r="1362" spans="2:19" ht="26.25" hidden="1" thickBot="1">
      <c r="B1362" s="609">
        <v>92024</v>
      </c>
      <c r="C1362" s="610" t="s">
        <v>843</v>
      </c>
      <c r="D1362" s="611" t="s">
        <v>1498</v>
      </c>
      <c r="E1362" s="602"/>
      <c r="F1362" s="603"/>
      <c r="G1362" s="604"/>
      <c r="H1362" s="605"/>
      <c r="I1362" s="675">
        <v>55.65</v>
      </c>
      <c r="J1362" s="675">
        <f t="shared" si="289"/>
        <v>55.65</v>
      </c>
      <c r="K1362" s="606">
        <f t="shared" si="291"/>
        <v>67.53</v>
      </c>
      <c r="L1362" s="389" t="s">
        <v>21</v>
      </c>
      <c r="M1362" s="30"/>
      <c r="N1362" s="30"/>
      <c r="O1362" s="287">
        <f t="shared" si="292"/>
        <v>0</v>
      </c>
      <c r="P1362" s="287">
        <f t="shared" si="293"/>
        <v>0</v>
      </c>
      <c r="Q1362" s="288"/>
      <c r="R1362" s="243"/>
      <c r="S1362" s="385" t="str">
        <f t="shared" si="290"/>
        <v/>
      </c>
    </row>
    <row r="1363" spans="2:19" ht="26.25" hidden="1" thickBot="1">
      <c r="B1363" s="609">
        <v>92025</v>
      </c>
      <c r="C1363" s="610" t="s">
        <v>843</v>
      </c>
      <c r="D1363" s="611" t="s">
        <v>1499</v>
      </c>
      <c r="E1363" s="602"/>
      <c r="F1363" s="603"/>
      <c r="G1363" s="604"/>
      <c r="H1363" s="605"/>
      <c r="I1363" s="675">
        <v>63.37</v>
      </c>
      <c r="J1363" s="675">
        <f t="shared" si="289"/>
        <v>63.37</v>
      </c>
      <c r="K1363" s="606">
        <f t="shared" si="291"/>
        <v>76.900000000000006</v>
      </c>
      <c r="L1363" s="389" t="s">
        <v>21</v>
      </c>
      <c r="M1363" s="30"/>
      <c r="N1363" s="30"/>
      <c r="O1363" s="287">
        <f t="shared" si="292"/>
        <v>0</v>
      </c>
      <c r="P1363" s="287">
        <f t="shared" si="293"/>
        <v>0</v>
      </c>
      <c r="Q1363" s="288"/>
      <c r="R1363" s="243"/>
      <c r="S1363" s="385" t="str">
        <f t="shared" si="290"/>
        <v/>
      </c>
    </row>
    <row r="1364" spans="2:19" ht="26.25" hidden="1" thickBot="1">
      <c r="B1364" s="609">
        <v>92026</v>
      </c>
      <c r="C1364" s="610" t="s">
        <v>843</v>
      </c>
      <c r="D1364" s="611" t="s">
        <v>1500</v>
      </c>
      <c r="E1364" s="602"/>
      <c r="F1364" s="603"/>
      <c r="G1364" s="604"/>
      <c r="H1364" s="605"/>
      <c r="I1364" s="675">
        <v>50.94</v>
      </c>
      <c r="J1364" s="675">
        <f t="shared" si="289"/>
        <v>50.94</v>
      </c>
      <c r="K1364" s="606">
        <f t="shared" si="291"/>
        <v>61.82</v>
      </c>
      <c r="L1364" s="389" t="s">
        <v>21</v>
      </c>
      <c r="M1364" s="30"/>
      <c r="N1364" s="30"/>
      <c r="O1364" s="287">
        <f t="shared" si="292"/>
        <v>0</v>
      </c>
      <c r="P1364" s="287">
        <f t="shared" si="293"/>
        <v>0</v>
      </c>
      <c r="Q1364" s="288"/>
      <c r="R1364" s="243"/>
      <c r="S1364" s="385" t="str">
        <f t="shared" si="290"/>
        <v/>
      </c>
    </row>
    <row r="1365" spans="2:19" ht="26.25" hidden="1" thickBot="1">
      <c r="B1365" s="609">
        <v>92027</v>
      </c>
      <c r="C1365" s="610" t="s">
        <v>843</v>
      </c>
      <c r="D1365" s="611" t="s">
        <v>1501</v>
      </c>
      <c r="E1365" s="602"/>
      <c r="F1365" s="603"/>
      <c r="G1365" s="604"/>
      <c r="H1365" s="605"/>
      <c r="I1365" s="675">
        <v>58.66</v>
      </c>
      <c r="J1365" s="675">
        <f t="shared" si="289"/>
        <v>58.66</v>
      </c>
      <c r="K1365" s="606">
        <f t="shared" si="291"/>
        <v>71.180000000000007</v>
      </c>
      <c r="L1365" s="389" t="s">
        <v>21</v>
      </c>
      <c r="M1365" s="30"/>
      <c r="N1365" s="30"/>
      <c r="O1365" s="287">
        <f t="shared" si="292"/>
        <v>0</v>
      </c>
      <c r="P1365" s="287">
        <f t="shared" si="293"/>
        <v>0</v>
      </c>
      <c r="Q1365" s="288"/>
      <c r="R1365" s="243"/>
      <c r="S1365" s="385" t="str">
        <f t="shared" si="290"/>
        <v/>
      </c>
    </row>
    <row r="1366" spans="2:19" ht="26.25" hidden="1" thickBot="1">
      <c r="B1366" s="609">
        <v>92034</v>
      </c>
      <c r="C1366" s="610" t="s">
        <v>843</v>
      </c>
      <c r="D1366" s="611" t="s">
        <v>1502</v>
      </c>
      <c r="E1366" s="602"/>
      <c r="F1366" s="603"/>
      <c r="G1366" s="604"/>
      <c r="H1366" s="605"/>
      <c r="I1366" s="675">
        <v>56.82</v>
      </c>
      <c r="J1366" s="675">
        <f t="shared" si="289"/>
        <v>56.82</v>
      </c>
      <c r="K1366" s="606">
        <f t="shared" si="291"/>
        <v>68.95</v>
      </c>
      <c r="L1366" s="389" t="s">
        <v>21</v>
      </c>
      <c r="M1366" s="30"/>
      <c r="N1366" s="30"/>
      <c r="O1366" s="287">
        <f t="shared" si="292"/>
        <v>0</v>
      </c>
      <c r="P1366" s="287">
        <f t="shared" si="293"/>
        <v>0</v>
      </c>
      <c r="Q1366" s="288"/>
      <c r="R1366" s="243"/>
      <c r="S1366" s="385" t="str">
        <f t="shared" si="290"/>
        <v/>
      </c>
    </row>
    <row r="1367" spans="2:19" ht="26.25" hidden="1" thickBot="1">
      <c r="B1367" s="609">
        <v>92035</v>
      </c>
      <c r="C1367" s="610" t="s">
        <v>843</v>
      </c>
      <c r="D1367" s="611" t="s">
        <v>1503</v>
      </c>
      <c r="E1367" s="602"/>
      <c r="F1367" s="603"/>
      <c r="G1367" s="604"/>
      <c r="H1367" s="605"/>
      <c r="I1367" s="675">
        <v>64.540000000000006</v>
      </c>
      <c r="J1367" s="675">
        <f t="shared" si="289"/>
        <v>64.540000000000006</v>
      </c>
      <c r="K1367" s="606">
        <f t="shared" si="291"/>
        <v>78.319999999999993</v>
      </c>
      <c r="L1367" s="389" t="s">
        <v>21</v>
      </c>
      <c r="M1367" s="30"/>
      <c r="N1367" s="30"/>
      <c r="O1367" s="287">
        <f t="shared" si="292"/>
        <v>0</v>
      </c>
      <c r="P1367" s="287">
        <f t="shared" si="293"/>
        <v>0</v>
      </c>
      <c r="Q1367" s="288"/>
      <c r="R1367" s="243"/>
      <c r="S1367" s="385" t="str">
        <f t="shared" si="290"/>
        <v/>
      </c>
    </row>
    <row r="1368" spans="2:19" ht="26.25" hidden="1" thickBot="1">
      <c r="B1368" s="609">
        <v>91954</v>
      </c>
      <c r="C1368" s="610" t="s">
        <v>843</v>
      </c>
      <c r="D1368" s="611" t="s">
        <v>1504</v>
      </c>
      <c r="E1368" s="602"/>
      <c r="F1368" s="603"/>
      <c r="G1368" s="604"/>
      <c r="H1368" s="605"/>
      <c r="I1368" s="675">
        <v>23.1</v>
      </c>
      <c r="J1368" s="675">
        <f t="shared" si="289"/>
        <v>23.1</v>
      </c>
      <c r="K1368" s="606">
        <f t="shared" si="291"/>
        <v>28.03</v>
      </c>
      <c r="L1368" s="389" t="s">
        <v>21</v>
      </c>
      <c r="M1368" s="30"/>
      <c r="N1368" s="30"/>
      <c r="O1368" s="287">
        <f t="shared" si="292"/>
        <v>0</v>
      </c>
      <c r="P1368" s="287">
        <f t="shared" si="293"/>
        <v>0</v>
      </c>
      <c r="Q1368" s="288"/>
      <c r="R1368" s="243"/>
      <c r="S1368" s="385" t="str">
        <f t="shared" si="290"/>
        <v/>
      </c>
    </row>
    <row r="1369" spans="2:19" ht="26.25" hidden="1" thickBot="1">
      <c r="B1369" s="609">
        <v>91955</v>
      </c>
      <c r="C1369" s="610" t="s">
        <v>843</v>
      </c>
      <c r="D1369" s="611" t="s">
        <v>1505</v>
      </c>
      <c r="E1369" s="602"/>
      <c r="F1369" s="603"/>
      <c r="G1369" s="604"/>
      <c r="H1369" s="605"/>
      <c r="I1369" s="675">
        <v>30.82</v>
      </c>
      <c r="J1369" s="675">
        <f t="shared" si="289"/>
        <v>30.82</v>
      </c>
      <c r="K1369" s="606">
        <f t="shared" si="291"/>
        <v>37.4</v>
      </c>
      <c r="L1369" s="389" t="s">
        <v>21</v>
      </c>
      <c r="M1369" s="30"/>
      <c r="N1369" s="30"/>
      <c r="O1369" s="287">
        <f t="shared" si="292"/>
        <v>0</v>
      </c>
      <c r="P1369" s="287">
        <f t="shared" si="293"/>
        <v>0</v>
      </c>
      <c r="Q1369" s="288"/>
      <c r="R1369" s="243"/>
      <c r="S1369" s="385" t="str">
        <f t="shared" si="290"/>
        <v/>
      </c>
    </row>
    <row r="1370" spans="2:19" ht="26.25" hidden="1" thickBot="1">
      <c r="B1370" s="609">
        <v>91960</v>
      </c>
      <c r="C1370" s="610" t="s">
        <v>843</v>
      </c>
      <c r="D1370" s="611" t="s">
        <v>1506</v>
      </c>
      <c r="E1370" s="602"/>
      <c r="F1370" s="603"/>
      <c r="G1370" s="604"/>
      <c r="H1370" s="605"/>
      <c r="I1370" s="675">
        <v>43.46</v>
      </c>
      <c r="J1370" s="675">
        <f t="shared" si="289"/>
        <v>43.46</v>
      </c>
      <c r="K1370" s="606">
        <f t="shared" si="291"/>
        <v>52.74</v>
      </c>
      <c r="L1370" s="389" t="s">
        <v>21</v>
      </c>
      <c r="M1370" s="30"/>
      <c r="N1370" s="30"/>
      <c r="O1370" s="287">
        <f t="shared" si="292"/>
        <v>0</v>
      </c>
      <c r="P1370" s="287">
        <f t="shared" si="293"/>
        <v>0</v>
      </c>
      <c r="Q1370" s="288"/>
      <c r="R1370" s="243"/>
      <c r="S1370" s="385" t="str">
        <f t="shared" si="290"/>
        <v/>
      </c>
    </row>
    <row r="1371" spans="2:19" ht="26.25" hidden="1" thickBot="1">
      <c r="B1371" s="609">
        <v>91961</v>
      </c>
      <c r="C1371" s="610" t="s">
        <v>843</v>
      </c>
      <c r="D1371" s="611" t="s">
        <v>1507</v>
      </c>
      <c r="E1371" s="602"/>
      <c r="F1371" s="603"/>
      <c r="G1371" s="604"/>
      <c r="H1371" s="605"/>
      <c r="I1371" s="675">
        <v>51.18</v>
      </c>
      <c r="J1371" s="675">
        <f t="shared" si="289"/>
        <v>51.18</v>
      </c>
      <c r="K1371" s="606">
        <f t="shared" si="291"/>
        <v>62.11</v>
      </c>
      <c r="L1371" s="389" t="s">
        <v>21</v>
      </c>
      <c r="M1371" s="30"/>
      <c r="N1371" s="30"/>
      <c r="O1371" s="287">
        <f t="shared" si="292"/>
        <v>0</v>
      </c>
      <c r="P1371" s="287">
        <f t="shared" si="293"/>
        <v>0</v>
      </c>
      <c r="Q1371" s="288"/>
      <c r="R1371" s="243"/>
      <c r="S1371" s="385" t="str">
        <f t="shared" si="290"/>
        <v/>
      </c>
    </row>
    <row r="1372" spans="2:19" ht="26.25" hidden="1" thickBot="1">
      <c r="B1372" s="609">
        <v>91968</v>
      </c>
      <c r="C1372" s="610" t="s">
        <v>843</v>
      </c>
      <c r="D1372" s="611" t="s">
        <v>1508</v>
      </c>
      <c r="E1372" s="602"/>
      <c r="F1372" s="603"/>
      <c r="G1372" s="604"/>
      <c r="H1372" s="605"/>
      <c r="I1372" s="675">
        <v>63.83</v>
      </c>
      <c r="J1372" s="675">
        <f t="shared" ref="J1372:J1435" si="294">IF(ISBLANK(I1372),"",SUM(H1372:I1372))</f>
        <v>63.83</v>
      </c>
      <c r="K1372" s="606">
        <f t="shared" si="291"/>
        <v>77.459999999999994</v>
      </c>
      <c r="L1372" s="389" t="s">
        <v>21</v>
      </c>
      <c r="M1372" s="30"/>
      <c r="N1372" s="30"/>
      <c r="O1372" s="287">
        <f t="shared" si="292"/>
        <v>0</v>
      </c>
      <c r="P1372" s="287">
        <f t="shared" si="293"/>
        <v>0</v>
      </c>
      <c r="Q1372" s="288"/>
      <c r="R1372" s="243"/>
      <c r="S1372" s="385" t="str">
        <f t="shared" si="290"/>
        <v/>
      </c>
    </row>
    <row r="1373" spans="2:19" ht="26.25" hidden="1" thickBot="1">
      <c r="B1373" s="609">
        <v>91969</v>
      </c>
      <c r="C1373" s="610" t="s">
        <v>843</v>
      </c>
      <c r="D1373" s="611" t="s">
        <v>1509</v>
      </c>
      <c r="E1373" s="602"/>
      <c r="F1373" s="603"/>
      <c r="G1373" s="604"/>
      <c r="H1373" s="605"/>
      <c r="I1373" s="675">
        <v>71.55</v>
      </c>
      <c r="J1373" s="675">
        <f t="shared" si="294"/>
        <v>71.55</v>
      </c>
      <c r="K1373" s="606">
        <f t="shared" si="291"/>
        <v>86.83</v>
      </c>
      <c r="L1373" s="389" t="s">
        <v>21</v>
      </c>
      <c r="M1373" s="30"/>
      <c r="N1373" s="30"/>
      <c r="O1373" s="287">
        <f t="shared" si="292"/>
        <v>0</v>
      </c>
      <c r="P1373" s="287">
        <f t="shared" si="293"/>
        <v>0</v>
      </c>
      <c r="Q1373" s="288"/>
      <c r="R1373" s="243"/>
      <c r="S1373" s="385" t="str">
        <f t="shared" si="290"/>
        <v/>
      </c>
    </row>
    <row r="1374" spans="2:19" ht="26.25" hidden="1" thickBot="1">
      <c r="B1374" s="609">
        <v>92028</v>
      </c>
      <c r="C1374" s="610" t="s">
        <v>843</v>
      </c>
      <c r="D1374" s="611" t="s">
        <v>1510</v>
      </c>
      <c r="E1374" s="602"/>
      <c r="F1374" s="603"/>
      <c r="G1374" s="604"/>
      <c r="H1374" s="605"/>
      <c r="I1374" s="675">
        <v>42.29</v>
      </c>
      <c r="J1374" s="675">
        <f t="shared" si="294"/>
        <v>42.29</v>
      </c>
      <c r="K1374" s="606">
        <f t="shared" si="291"/>
        <v>51.32</v>
      </c>
      <c r="L1374" s="389" t="s">
        <v>21</v>
      </c>
      <c r="M1374" s="30"/>
      <c r="N1374" s="30"/>
      <c r="O1374" s="287">
        <f t="shared" si="292"/>
        <v>0</v>
      </c>
      <c r="P1374" s="287">
        <f t="shared" si="293"/>
        <v>0</v>
      </c>
      <c r="Q1374" s="288"/>
      <c r="R1374" s="243"/>
      <c r="S1374" s="385" t="str">
        <f t="shared" si="290"/>
        <v/>
      </c>
    </row>
    <row r="1375" spans="2:19" ht="26.25" hidden="1" thickBot="1">
      <c r="B1375" s="609">
        <v>92029</v>
      </c>
      <c r="C1375" s="610" t="s">
        <v>843</v>
      </c>
      <c r="D1375" s="611" t="s">
        <v>1511</v>
      </c>
      <c r="E1375" s="602"/>
      <c r="F1375" s="603"/>
      <c r="G1375" s="604"/>
      <c r="H1375" s="605"/>
      <c r="I1375" s="675">
        <v>50.01</v>
      </c>
      <c r="J1375" s="675">
        <f t="shared" si="294"/>
        <v>50.01</v>
      </c>
      <c r="K1375" s="606">
        <f t="shared" si="291"/>
        <v>60.69</v>
      </c>
      <c r="L1375" s="389" t="s">
        <v>21</v>
      </c>
      <c r="M1375" s="30"/>
      <c r="N1375" s="30"/>
      <c r="O1375" s="287">
        <f t="shared" si="292"/>
        <v>0</v>
      </c>
      <c r="P1375" s="287">
        <f t="shared" si="293"/>
        <v>0</v>
      </c>
      <c r="Q1375" s="288"/>
      <c r="R1375" s="243"/>
      <c r="S1375" s="385" t="str">
        <f t="shared" si="290"/>
        <v/>
      </c>
    </row>
    <row r="1376" spans="2:19" ht="26.25" hidden="1" thickBot="1">
      <c r="B1376" s="609">
        <v>92030</v>
      </c>
      <c r="C1376" s="610" t="s">
        <v>843</v>
      </c>
      <c r="D1376" s="611" t="s">
        <v>1512</v>
      </c>
      <c r="E1376" s="602"/>
      <c r="F1376" s="603"/>
      <c r="G1376" s="604"/>
      <c r="H1376" s="605"/>
      <c r="I1376" s="675">
        <v>61.49</v>
      </c>
      <c r="J1376" s="675">
        <f t="shared" si="294"/>
        <v>61.49</v>
      </c>
      <c r="K1376" s="606">
        <f t="shared" si="291"/>
        <v>74.62</v>
      </c>
      <c r="L1376" s="389" t="s">
        <v>21</v>
      </c>
      <c r="M1376" s="30"/>
      <c r="N1376" s="30"/>
      <c r="O1376" s="287">
        <f t="shared" si="292"/>
        <v>0</v>
      </c>
      <c r="P1376" s="287">
        <f t="shared" si="293"/>
        <v>0</v>
      </c>
      <c r="Q1376" s="288"/>
      <c r="R1376" s="243"/>
      <c r="S1376" s="385" t="str">
        <f t="shared" si="290"/>
        <v/>
      </c>
    </row>
    <row r="1377" spans="2:19" ht="26.25" hidden="1" thickBot="1">
      <c r="B1377" s="609">
        <v>92031</v>
      </c>
      <c r="C1377" s="610" t="s">
        <v>843</v>
      </c>
      <c r="D1377" s="611" t="s">
        <v>1513</v>
      </c>
      <c r="E1377" s="602"/>
      <c r="F1377" s="603"/>
      <c r="G1377" s="604"/>
      <c r="H1377" s="605"/>
      <c r="I1377" s="675">
        <v>69.209999999999994</v>
      </c>
      <c r="J1377" s="675">
        <f t="shared" si="294"/>
        <v>69.209999999999994</v>
      </c>
      <c r="K1377" s="606">
        <f t="shared" si="291"/>
        <v>83.99</v>
      </c>
      <c r="L1377" s="389" t="s">
        <v>21</v>
      </c>
      <c r="M1377" s="30"/>
      <c r="N1377" s="30"/>
      <c r="O1377" s="287">
        <f t="shared" si="292"/>
        <v>0</v>
      </c>
      <c r="P1377" s="287">
        <f t="shared" si="293"/>
        <v>0</v>
      </c>
      <c r="Q1377" s="288"/>
      <c r="R1377" s="243"/>
      <c r="S1377" s="385" t="str">
        <f t="shared" si="290"/>
        <v/>
      </c>
    </row>
    <row r="1378" spans="2:19" ht="26.25" hidden="1" thickBot="1">
      <c r="B1378" s="609">
        <v>92032</v>
      </c>
      <c r="C1378" s="610" t="s">
        <v>843</v>
      </c>
      <c r="D1378" s="611" t="s">
        <v>1514</v>
      </c>
      <c r="E1378" s="602"/>
      <c r="F1378" s="603"/>
      <c r="G1378" s="604"/>
      <c r="H1378" s="605"/>
      <c r="I1378" s="675">
        <v>62.66</v>
      </c>
      <c r="J1378" s="675">
        <f t="shared" si="294"/>
        <v>62.66</v>
      </c>
      <c r="K1378" s="606">
        <f t="shared" si="291"/>
        <v>76.040000000000006</v>
      </c>
      <c r="L1378" s="389" t="s">
        <v>21</v>
      </c>
      <c r="M1378" s="30"/>
      <c r="N1378" s="30"/>
      <c r="O1378" s="287">
        <f t="shared" si="292"/>
        <v>0</v>
      </c>
      <c r="P1378" s="287">
        <f t="shared" si="293"/>
        <v>0</v>
      </c>
      <c r="Q1378" s="288"/>
      <c r="R1378" s="243"/>
      <c r="S1378" s="385" t="str">
        <f t="shared" si="290"/>
        <v/>
      </c>
    </row>
    <row r="1379" spans="2:19" ht="26.25" hidden="1" thickBot="1">
      <c r="B1379" s="609">
        <v>92033</v>
      </c>
      <c r="C1379" s="610" t="s">
        <v>843</v>
      </c>
      <c r="D1379" s="611" t="s">
        <v>1515</v>
      </c>
      <c r="E1379" s="602"/>
      <c r="F1379" s="603"/>
      <c r="G1379" s="604"/>
      <c r="H1379" s="605"/>
      <c r="I1379" s="675">
        <v>70.38</v>
      </c>
      <c r="J1379" s="675">
        <f t="shared" si="294"/>
        <v>70.38</v>
      </c>
      <c r="K1379" s="606">
        <f t="shared" si="291"/>
        <v>85.41</v>
      </c>
      <c r="L1379" s="389" t="s">
        <v>21</v>
      </c>
      <c r="M1379" s="30"/>
      <c r="N1379" s="30"/>
      <c r="O1379" s="287">
        <f t="shared" si="292"/>
        <v>0</v>
      </c>
      <c r="P1379" s="287">
        <f t="shared" si="293"/>
        <v>0</v>
      </c>
      <c r="Q1379" s="288"/>
      <c r="R1379" s="243"/>
      <c r="S1379" s="385" t="str">
        <f t="shared" si="290"/>
        <v/>
      </c>
    </row>
    <row r="1380" spans="2:19" ht="26.25" hidden="1" thickBot="1">
      <c r="B1380" s="609">
        <v>91978</v>
      </c>
      <c r="C1380" s="610" t="s">
        <v>843</v>
      </c>
      <c r="D1380" s="611" t="s">
        <v>1516</v>
      </c>
      <c r="E1380" s="602"/>
      <c r="F1380" s="603"/>
      <c r="G1380" s="604"/>
      <c r="H1380" s="605"/>
      <c r="I1380" s="675">
        <v>37.19</v>
      </c>
      <c r="J1380" s="675">
        <f t="shared" si="294"/>
        <v>37.19</v>
      </c>
      <c r="K1380" s="606">
        <f t="shared" si="291"/>
        <v>45.13</v>
      </c>
      <c r="L1380" s="389" t="s">
        <v>21</v>
      </c>
      <c r="M1380" s="30"/>
      <c r="N1380" s="30"/>
      <c r="O1380" s="287">
        <f t="shared" si="292"/>
        <v>0</v>
      </c>
      <c r="P1380" s="287">
        <f t="shared" si="293"/>
        <v>0</v>
      </c>
      <c r="Q1380" s="288"/>
      <c r="R1380" s="243"/>
      <c r="S1380" s="385" t="str">
        <f t="shared" si="290"/>
        <v/>
      </c>
    </row>
    <row r="1381" spans="2:19" ht="26.25" hidden="1" thickBot="1">
      <c r="B1381" s="609">
        <v>91979</v>
      </c>
      <c r="C1381" s="610" t="s">
        <v>843</v>
      </c>
      <c r="D1381" s="611" t="s">
        <v>1517</v>
      </c>
      <c r="E1381" s="602"/>
      <c r="F1381" s="603"/>
      <c r="G1381" s="604"/>
      <c r="H1381" s="605"/>
      <c r="I1381" s="675">
        <v>44.91</v>
      </c>
      <c r="J1381" s="675">
        <f t="shared" si="294"/>
        <v>44.91</v>
      </c>
      <c r="K1381" s="606">
        <f t="shared" si="291"/>
        <v>54.5</v>
      </c>
      <c r="L1381" s="389" t="s">
        <v>21</v>
      </c>
      <c r="M1381" s="30"/>
      <c r="N1381" s="30"/>
      <c r="O1381" s="287">
        <f t="shared" si="292"/>
        <v>0</v>
      </c>
      <c r="P1381" s="287">
        <f t="shared" si="293"/>
        <v>0</v>
      </c>
      <c r="Q1381" s="288"/>
      <c r="R1381" s="243"/>
      <c r="S1381" s="385" t="str">
        <f t="shared" si="290"/>
        <v/>
      </c>
    </row>
    <row r="1382" spans="2:19" ht="26.25" hidden="1" thickBot="1">
      <c r="B1382" s="609">
        <v>91980</v>
      </c>
      <c r="C1382" s="610" t="s">
        <v>843</v>
      </c>
      <c r="D1382" s="611" t="s">
        <v>1518</v>
      </c>
      <c r="E1382" s="602"/>
      <c r="F1382" s="603"/>
      <c r="G1382" s="604"/>
      <c r="H1382" s="605"/>
      <c r="I1382" s="675">
        <v>35.950000000000003</v>
      </c>
      <c r="J1382" s="675">
        <f t="shared" si="294"/>
        <v>35.950000000000003</v>
      </c>
      <c r="K1382" s="606">
        <f t="shared" si="291"/>
        <v>43.63</v>
      </c>
      <c r="L1382" s="389" t="s">
        <v>21</v>
      </c>
      <c r="M1382" s="30"/>
      <c r="N1382" s="30"/>
      <c r="O1382" s="287">
        <f t="shared" si="292"/>
        <v>0</v>
      </c>
      <c r="P1382" s="287">
        <f t="shared" si="293"/>
        <v>0</v>
      </c>
      <c r="Q1382" s="288"/>
      <c r="R1382" s="243"/>
      <c r="S1382" s="385" t="str">
        <f t="shared" si="290"/>
        <v/>
      </c>
    </row>
    <row r="1383" spans="2:19" ht="26.25" hidden="1" thickBot="1">
      <c r="B1383" s="609">
        <v>91981</v>
      </c>
      <c r="C1383" s="610" t="s">
        <v>843</v>
      </c>
      <c r="D1383" s="611" t="s">
        <v>1519</v>
      </c>
      <c r="E1383" s="602"/>
      <c r="F1383" s="603"/>
      <c r="G1383" s="604"/>
      <c r="H1383" s="605"/>
      <c r="I1383" s="675">
        <v>43.67</v>
      </c>
      <c r="J1383" s="675">
        <f t="shared" si="294"/>
        <v>43.67</v>
      </c>
      <c r="K1383" s="606">
        <f t="shared" si="291"/>
        <v>52.99</v>
      </c>
      <c r="L1383" s="389" t="s">
        <v>21</v>
      </c>
      <c r="M1383" s="30"/>
      <c r="N1383" s="30"/>
      <c r="O1383" s="287">
        <f t="shared" si="292"/>
        <v>0</v>
      </c>
      <c r="P1383" s="287">
        <f t="shared" si="293"/>
        <v>0</v>
      </c>
      <c r="Q1383" s="288"/>
      <c r="R1383" s="243"/>
      <c r="S1383" s="385" t="str">
        <f t="shared" si="290"/>
        <v/>
      </c>
    </row>
    <row r="1384" spans="2:19" ht="26.25" hidden="1" thickBot="1">
      <c r="B1384" s="609">
        <v>91978</v>
      </c>
      <c r="C1384" s="610" t="s">
        <v>843</v>
      </c>
      <c r="D1384" s="611" t="s">
        <v>1516</v>
      </c>
      <c r="E1384" s="602"/>
      <c r="F1384" s="603"/>
      <c r="G1384" s="604"/>
      <c r="H1384" s="605"/>
      <c r="I1384" s="675">
        <v>37.19</v>
      </c>
      <c r="J1384" s="675">
        <f t="shared" si="294"/>
        <v>37.19</v>
      </c>
      <c r="K1384" s="606">
        <f t="shared" si="291"/>
        <v>45.13</v>
      </c>
      <c r="L1384" s="389" t="s">
        <v>21</v>
      </c>
      <c r="M1384" s="30"/>
      <c r="N1384" s="30"/>
      <c r="O1384" s="287">
        <f t="shared" si="292"/>
        <v>0</v>
      </c>
      <c r="P1384" s="287">
        <f t="shared" si="293"/>
        <v>0</v>
      </c>
      <c r="Q1384" s="288"/>
      <c r="R1384" s="243"/>
      <c r="S1384" s="385" t="str">
        <f t="shared" si="290"/>
        <v/>
      </c>
    </row>
    <row r="1385" spans="2:19" ht="26.25" hidden="1" thickBot="1">
      <c r="B1385" s="609">
        <v>91979</v>
      </c>
      <c r="C1385" s="610" t="s">
        <v>843</v>
      </c>
      <c r="D1385" s="611" t="s">
        <v>1517</v>
      </c>
      <c r="E1385" s="602"/>
      <c r="F1385" s="603"/>
      <c r="G1385" s="604"/>
      <c r="H1385" s="605"/>
      <c r="I1385" s="675">
        <v>44.91</v>
      </c>
      <c r="J1385" s="675">
        <f t="shared" si="294"/>
        <v>44.91</v>
      </c>
      <c r="K1385" s="606">
        <f t="shared" si="291"/>
        <v>54.5</v>
      </c>
      <c r="L1385" s="389" t="s">
        <v>21</v>
      </c>
      <c r="M1385" s="30"/>
      <c r="N1385" s="30"/>
      <c r="O1385" s="287">
        <f t="shared" si="292"/>
        <v>0</v>
      </c>
      <c r="P1385" s="287">
        <f t="shared" si="293"/>
        <v>0</v>
      </c>
      <c r="Q1385" s="288"/>
      <c r="R1385" s="243"/>
      <c r="S1385" s="385" t="str">
        <f t="shared" si="290"/>
        <v/>
      </c>
    </row>
    <row r="1386" spans="2:19" ht="26.25" hidden="1" thickBot="1">
      <c r="B1386" s="609">
        <v>91980</v>
      </c>
      <c r="C1386" s="610" t="s">
        <v>843</v>
      </c>
      <c r="D1386" s="611" t="s">
        <v>1518</v>
      </c>
      <c r="E1386" s="602"/>
      <c r="F1386" s="603"/>
      <c r="G1386" s="604"/>
      <c r="H1386" s="605"/>
      <c r="I1386" s="675">
        <v>35.950000000000003</v>
      </c>
      <c r="J1386" s="675">
        <f t="shared" si="294"/>
        <v>35.950000000000003</v>
      </c>
      <c r="K1386" s="606">
        <f t="shared" si="291"/>
        <v>43.63</v>
      </c>
      <c r="L1386" s="389" t="s">
        <v>21</v>
      </c>
      <c r="M1386" s="30"/>
      <c r="N1386" s="30"/>
      <c r="O1386" s="287">
        <f t="shared" si="292"/>
        <v>0</v>
      </c>
      <c r="P1386" s="287">
        <f t="shared" si="293"/>
        <v>0</v>
      </c>
      <c r="Q1386" s="288"/>
      <c r="R1386" s="243"/>
      <c r="S1386" s="385" t="str">
        <f t="shared" si="290"/>
        <v/>
      </c>
    </row>
    <row r="1387" spans="2:19" ht="26.25" hidden="1" thickBot="1">
      <c r="B1387" s="609">
        <v>91981</v>
      </c>
      <c r="C1387" s="610" t="s">
        <v>843</v>
      </c>
      <c r="D1387" s="611" t="s">
        <v>1519</v>
      </c>
      <c r="E1387" s="602"/>
      <c r="F1387" s="603"/>
      <c r="G1387" s="604"/>
      <c r="H1387" s="605"/>
      <c r="I1387" s="675">
        <v>43.67</v>
      </c>
      <c r="J1387" s="675">
        <f t="shared" si="294"/>
        <v>43.67</v>
      </c>
      <c r="K1387" s="606">
        <f t="shared" si="291"/>
        <v>52.99</v>
      </c>
      <c r="L1387" s="389" t="s">
        <v>21</v>
      </c>
      <c r="M1387" s="30"/>
      <c r="N1387" s="30"/>
      <c r="O1387" s="287">
        <f t="shared" si="292"/>
        <v>0</v>
      </c>
      <c r="P1387" s="287">
        <f t="shared" si="293"/>
        <v>0</v>
      </c>
      <c r="Q1387" s="288"/>
      <c r="R1387" s="243"/>
      <c r="S1387" s="385" t="str">
        <f t="shared" si="290"/>
        <v/>
      </c>
    </row>
    <row r="1388" spans="2:19" ht="26.25" hidden="1" thickBot="1">
      <c r="B1388" s="609">
        <v>91982</v>
      </c>
      <c r="C1388" s="610" t="s">
        <v>843</v>
      </c>
      <c r="D1388" s="611" t="s">
        <v>1520</v>
      </c>
      <c r="E1388" s="602"/>
      <c r="F1388" s="603"/>
      <c r="G1388" s="604"/>
      <c r="H1388" s="605"/>
      <c r="I1388" s="675">
        <v>89.18</v>
      </c>
      <c r="J1388" s="675">
        <f t="shared" si="294"/>
        <v>89.18</v>
      </c>
      <c r="K1388" s="606">
        <f t="shared" si="291"/>
        <v>108.22</v>
      </c>
      <c r="L1388" s="389" t="s">
        <v>21</v>
      </c>
      <c r="M1388" s="30"/>
      <c r="N1388" s="30"/>
      <c r="O1388" s="287">
        <f t="shared" si="292"/>
        <v>0</v>
      </c>
      <c r="P1388" s="287">
        <f t="shared" si="293"/>
        <v>0</v>
      </c>
      <c r="Q1388" s="288"/>
      <c r="R1388" s="243"/>
      <c r="S1388" s="385" t="str">
        <f t="shared" si="290"/>
        <v/>
      </c>
    </row>
    <row r="1389" spans="2:19" ht="26.25" hidden="1" thickBot="1">
      <c r="B1389" s="609">
        <v>91983</v>
      </c>
      <c r="C1389" s="610" t="s">
        <v>843</v>
      </c>
      <c r="D1389" s="611" t="s">
        <v>1521</v>
      </c>
      <c r="E1389" s="602"/>
      <c r="F1389" s="603"/>
      <c r="G1389" s="604"/>
      <c r="H1389" s="605"/>
      <c r="I1389" s="675">
        <v>96.9</v>
      </c>
      <c r="J1389" s="675">
        <f t="shared" si="294"/>
        <v>96.9</v>
      </c>
      <c r="K1389" s="606">
        <f t="shared" si="291"/>
        <v>117.59</v>
      </c>
      <c r="L1389" s="389" t="s">
        <v>21</v>
      </c>
      <c r="M1389" s="30"/>
      <c r="N1389" s="30"/>
      <c r="O1389" s="287">
        <f t="shared" si="292"/>
        <v>0</v>
      </c>
      <c r="P1389" s="287">
        <f t="shared" si="293"/>
        <v>0</v>
      </c>
      <c r="Q1389" s="288"/>
      <c r="R1389" s="243"/>
      <c r="S1389" s="385" t="str">
        <f t="shared" si="290"/>
        <v/>
      </c>
    </row>
    <row r="1390" spans="2:19" ht="26.25" hidden="1" thickBot="1">
      <c r="B1390" s="609">
        <v>91984</v>
      </c>
      <c r="C1390" s="610" t="s">
        <v>843</v>
      </c>
      <c r="D1390" s="611" t="s">
        <v>1522</v>
      </c>
      <c r="E1390" s="602"/>
      <c r="F1390" s="603"/>
      <c r="G1390" s="604"/>
      <c r="H1390" s="605"/>
      <c r="I1390" s="675">
        <v>16.059999999999999</v>
      </c>
      <c r="J1390" s="675">
        <f t="shared" si="294"/>
        <v>16.059999999999999</v>
      </c>
      <c r="K1390" s="606">
        <f t="shared" si="291"/>
        <v>19.489999999999998</v>
      </c>
      <c r="L1390" s="389" t="s">
        <v>21</v>
      </c>
      <c r="M1390" s="30"/>
      <c r="N1390" s="30"/>
      <c r="O1390" s="287">
        <f t="shared" si="292"/>
        <v>0</v>
      </c>
      <c r="P1390" s="287">
        <f t="shared" si="293"/>
        <v>0</v>
      </c>
      <c r="Q1390" s="288"/>
      <c r="R1390" s="243"/>
      <c r="S1390" s="385" t="str">
        <f t="shared" si="290"/>
        <v/>
      </c>
    </row>
    <row r="1391" spans="2:19" ht="26.25" hidden="1" thickBot="1">
      <c r="B1391" s="609">
        <v>91985</v>
      </c>
      <c r="C1391" s="610" t="s">
        <v>843</v>
      </c>
      <c r="D1391" s="611" t="s">
        <v>1523</v>
      </c>
      <c r="E1391" s="602"/>
      <c r="F1391" s="603"/>
      <c r="G1391" s="604"/>
      <c r="H1391" s="605"/>
      <c r="I1391" s="675">
        <v>23.78</v>
      </c>
      <c r="J1391" s="675">
        <f t="shared" si="294"/>
        <v>23.78</v>
      </c>
      <c r="K1391" s="606">
        <f t="shared" si="291"/>
        <v>28.86</v>
      </c>
      <c r="L1391" s="389" t="s">
        <v>21</v>
      </c>
      <c r="M1391" s="30"/>
      <c r="N1391" s="30"/>
      <c r="O1391" s="287">
        <f t="shared" si="292"/>
        <v>0</v>
      </c>
      <c r="P1391" s="287">
        <f t="shared" si="293"/>
        <v>0</v>
      </c>
      <c r="Q1391" s="288"/>
      <c r="R1391" s="243"/>
      <c r="S1391" s="385" t="str">
        <f t="shared" si="290"/>
        <v/>
      </c>
    </row>
    <row r="1392" spans="2:19" ht="26.25" hidden="1" thickBot="1">
      <c r="B1392" s="609">
        <v>91986</v>
      </c>
      <c r="C1392" s="610" t="s">
        <v>843</v>
      </c>
      <c r="D1392" s="611" t="s">
        <v>1524</v>
      </c>
      <c r="E1392" s="602"/>
      <c r="F1392" s="603"/>
      <c r="G1392" s="604"/>
      <c r="H1392" s="605"/>
      <c r="I1392" s="675">
        <v>34.83</v>
      </c>
      <c r="J1392" s="675">
        <f t="shared" si="294"/>
        <v>34.83</v>
      </c>
      <c r="K1392" s="606">
        <f t="shared" si="291"/>
        <v>42.27</v>
      </c>
      <c r="L1392" s="389" t="s">
        <v>21</v>
      </c>
      <c r="M1392" s="30"/>
      <c r="N1392" s="30"/>
      <c r="O1392" s="287">
        <f t="shared" si="292"/>
        <v>0</v>
      </c>
      <c r="P1392" s="287">
        <f t="shared" si="293"/>
        <v>0</v>
      </c>
      <c r="Q1392" s="288"/>
      <c r="R1392" s="243"/>
      <c r="S1392" s="385" t="str">
        <f t="shared" si="290"/>
        <v/>
      </c>
    </row>
    <row r="1393" spans="2:19" ht="26.25" hidden="1" thickBot="1">
      <c r="B1393" s="609">
        <v>91987</v>
      </c>
      <c r="C1393" s="610" t="s">
        <v>843</v>
      </c>
      <c r="D1393" s="611" t="s">
        <v>1525</v>
      </c>
      <c r="E1393" s="602"/>
      <c r="F1393" s="603"/>
      <c r="G1393" s="604"/>
      <c r="H1393" s="605"/>
      <c r="I1393" s="675">
        <v>42.55</v>
      </c>
      <c r="J1393" s="675">
        <f t="shared" si="294"/>
        <v>42.55</v>
      </c>
      <c r="K1393" s="606">
        <f t="shared" si="291"/>
        <v>51.63</v>
      </c>
      <c r="L1393" s="389" t="s">
        <v>21</v>
      </c>
      <c r="M1393" s="30"/>
      <c r="N1393" s="30"/>
      <c r="O1393" s="287">
        <f t="shared" si="292"/>
        <v>0</v>
      </c>
      <c r="P1393" s="287">
        <f t="shared" si="293"/>
        <v>0</v>
      </c>
      <c r="Q1393" s="288"/>
      <c r="R1393" s="243"/>
      <c r="S1393" s="385" t="str">
        <f t="shared" si="290"/>
        <v/>
      </c>
    </row>
    <row r="1394" spans="2:19" ht="26.25" hidden="1" thickBot="1">
      <c r="B1394" s="609">
        <v>91988</v>
      </c>
      <c r="C1394" s="610" t="s">
        <v>843</v>
      </c>
      <c r="D1394" s="611" t="s">
        <v>1526</v>
      </c>
      <c r="E1394" s="602"/>
      <c r="F1394" s="603"/>
      <c r="G1394" s="604"/>
      <c r="H1394" s="605"/>
      <c r="I1394" s="675">
        <v>20.239999999999998</v>
      </c>
      <c r="J1394" s="675">
        <f t="shared" si="294"/>
        <v>20.239999999999998</v>
      </c>
      <c r="K1394" s="606">
        <f t="shared" si="291"/>
        <v>24.56</v>
      </c>
      <c r="L1394" s="389" t="s">
        <v>21</v>
      </c>
      <c r="M1394" s="30"/>
      <c r="N1394" s="30"/>
      <c r="O1394" s="287">
        <f t="shared" si="292"/>
        <v>0</v>
      </c>
      <c r="P1394" s="287">
        <f t="shared" si="293"/>
        <v>0</v>
      </c>
      <c r="Q1394" s="288"/>
      <c r="R1394" s="243"/>
      <c r="S1394" s="385" t="str">
        <f t="shared" si="290"/>
        <v/>
      </c>
    </row>
    <row r="1395" spans="2:19" ht="26.25" hidden="1" thickBot="1">
      <c r="B1395" s="609">
        <v>91989</v>
      </c>
      <c r="C1395" s="610" t="s">
        <v>843</v>
      </c>
      <c r="D1395" s="611" t="s">
        <v>1527</v>
      </c>
      <c r="E1395" s="602"/>
      <c r="F1395" s="603"/>
      <c r="G1395" s="604"/>
      <c r="H1395" s="605"/>
      <c r="I1395" s="675">
        <v>27.96</v>
      </c>
      <c r="J1395" s="675">
        <f t="shared" si="294"/>
        <v>27.96</v>
      </c>
      <c r="K1395" s="606">
        <f t="shared" si="291"/>
        <v>33.93</v>
      </c>
      <c r="L1395" s="389" t="s">
        <v>21</v>
      </c>
      <c r="M1395" s="30"/>
      <c r="N1395" s="30"/>
      <c r="O1395" s="287">
        <f t="shared" si="292"/>
        <v>0</v>
      </c>
      <c r="P1395" s="287">
        <f t="shared" si="293"/>
        <v>0</v>
      </c>
      <c r="Q1395" s="288"/>
      <c r="R1395" s="243"/>
      <c r="S1395" s="385" t="str">
        <f t="shared" si="290"/>
        <v/>
      </c>
    </row>
    <row r="1396" spans="2:19" ht="26.25" hidden="1" thickBot="1">
      <c r="B1396" s="609">
        <v>91990</v>
      </c>
      <c r="C1396" s="610" t="s">
        <v>843</v>
      </c>
      <c r="D1396" s="611" t="s">
        <v>1528</v>
      </c>
      <c r="E1396" s="602"/>
      <c r="F1396" s="603"/>
      <c r="G1396" s="604"/>
      <c r="H1396" s="605"/>
      <c r="I1396" s="675">
        <v>30.39</v>
      </c>
      <c r="J1396" s="675">
        <f t="shared" si="294"/>
        <v>30.39</v>
      </c>
      <c r="K1396" s="606">
        <f t="shared" si="291"/>
        <v>36.880000000000003</v>
      </c>
      <c r="L1396" s="389" t="s">
        <v>21</v>
      </c>
      <c r="M1396" s="30"/>
      <c r="N1396" s="30"/>
      <c r="O1396" s="287">
        <f t="shared" si="292"/>
        <v>0</v>
      </c>
      <c r="P1396" s="287">
        <f t="shared" si="293"/>
        <v>0</v>
      </c>
      <c r="Q1396" s="288"/>
      <c r="R1396" s="243"/>
      <c r="S1396" s="385" t="str">
        <f t="shared" si="290"/>
        <v/>
      </c>
    </row>
    <row r="1397" spans="2:19" ht="26.25" hidden="1" thickBot="1">
      <c r="B1397" s="609">
        <v>91991</v>
      </c>
      <c r="C1397" s="610" t="s">
        <v>843</v>
      </c>
      <c r="D1397" s="611" t="s">
        <v>1529</v>
      </c>
      <c r="E1397" s="602"/>
      <c r="F1397" s="603"/>
      <c r="G1397" s="604"/>
      <c r="H1397" s="605"/>
      <c r="I1397" s="675">
        <v>32.65</v>
      </c>
      <c r="J1397" s="675">
        <f t="shared" si="294"/>
        <v>32.65</v>
      </c>
      <c r="K1397" s="606">
        <f t="shared" si="291"/>
        <v>39.619999999999997</v>
      </c>
      <c r="L1397" s="389" t="s">
        <v>21</v>
      </c>
      <c r="M1397" s="30"/>
      <c r="N1397" s="30"/>
      <c r="O1397" s="287">
        <f t="shared" si="292"/>
        <v>0</v>
      </c>
      <c r="P1397" s="287">
        <f t="shared" si="293"/>
        <v>0</v>
      </c>
      <c r="Q1397" s="288"/>
      <c r="R1397" s="243"/>
      <c r="S1397" s="385" t="str">
        <f t="shared" si="290"/>
        <v/>
      </c>
    </row>
    <row r="1398" spans="2:19" ht="26.25" hidden="1" thickBot="1">
      <c r="B1398" s="609">
        <v>91992</v>
      </c>
      <c r="C1398" s="610" t="s">
        <v>843</v>
      </c>
      <c r="D1398" s="611" t="s">
        <v>1530</v>
      </c>
      <c r="E1398" s="602"/>
      <c r="F1398" s="603"/>
      <c r="G1398" s="604"/>
      <c r="H1398" s="605"/>
      <c r="I1398" s="675">
        <v>38.11</v>
      </c>
      <c r="J1398" s="675">
        <f t="shared" si="294"/>
        <v>38.11</v>
      </c>
      <c r="K1398" s="606">
        <f t="shared" si="291"/>
        <v>46.25</v>
      </c>
      <c r="L1398" s="389" t="s">
        <v>21</v>
      </c>
      <c r="M1398" s="30"/>
      <c r="N1398" s="30"/>
      <c r="O1398" s="287">
        <f t="shared" si="292"/>
        <v>0</v>
      </c>
      <c r="P1398" s="287">
        <f t="shared" si="293"/>
        <v>0</v>
      </c>
      <c r="Q1398" s="288"/>
      <c r="R1398" s="243"/>
      <c r="S1398" s="385" t="str">
        <f t="shared" si="290"/>
        <v/>
      </c>
    </row>
    <row r="1399" spans="2:19" ht="26.25" hidden="1" thickBot="1">
      <c r="B1399" s="609">
        <v>91993</v>
      </c>
      <c r="C1399" s="610" t="s">
        <v>843</v>
      </c>
      <c r="D1399" s="611" t="s">
        <v>1531</v>
      </c>
      <c r="E1399" s="602"/>
      <c r="F1399" s="603"/>
      <c r="G1399" s="604"/>
      <c r="H1399" s="605"/>
      <c r="I1399" s="675">
        <v>40.369999999999997</v>
      </c>
      <c r="J1399" s="675">
        <f t="shared" si="294"/>
        <v>40.369999999999997</v>
      </c>
      <c r="K1399" s="606">
        <f t="shared" si="291"/>
        <v>48.99</v>
      </c>
      <c r="L1399" s="389" t="s">
        <v>21</v>
      </c>
      <c r="M1399" s="30"/>
      <c r="N1399" s="30"/>
      <c r="O1399" s="287">
        <f t="shared" si="292"/>
        <v>0</v>
      </c>
      <c r="P1399" s="287">
        <f t="shared" si="293"/>
        <v>0</v>
      </c>
      <c r="Q1399" s="288"/>
      <c r="R1399" s="243"/>
      <c r="S1399" s="385" t="str">
        <f t="shared" si="290"/>
        <v/>
      </c>
    </row>
    <row r="1400" spans="2:19" ht="26.25" hidden="1" thickBot="1">
      <c r="B1400" s="609">
        <v>91994</v>
      </c>
      <c r="C1400" s="610" t="s">
        <v>843</v>
      </c>
      <c r="D1400" s="611" t="s">
        <v>1532</v>
      </c>
      <c r="E1400" s="602"/>
      <c r="F1400" s="603"/>
      <c r="G1400" s="604"/>
      <c r="H1400" s="605"/>
      <c r="I1400" s="675">
        <v>21.93</v>
      </c>
      <c r="J1400" s="675">
        <f t="shared" si="294"/>
        <v>21.93</v>
      </c>
      <c r="K1400" s="606">
        <f t="shared" si="291"/>
        <v>26.61</v>
      </c>
      <c r="L1400" s="389" t="s">
        <v>21</v>
      </c>
      <c r="M1400" s="30"/>
      <c r="N1400" s="30"/>
      <c r="O1400" s="287">
        <f t="shared" si="292"/>
        <v>0</v>
      </c>
      <c r="P1400" s="287">
        <f t="shared" si="293"/>
        <v>0</v>
      </c>
      <c r="Q1400" s="288"/>
      <c r="R1400" s="243"/>
      <c r="S1400" s="385" t="str">
        <f t="shared" si="290"/>
        <v/>
      </c>
    </row>
    <row r="1401" spans="2:19" ht="26.25" hidden="1" thickBot="1">
      <c r="B1401" s="609">
        <v>91995</v>
      </c>
      <c r="C1401" s="610" t="s">
        <v>843</v>
      </c>
      <c r="D1401" s="611" t="s">
        <v>1533</v>
      </c>
      <c r="E1401" s="602"/>
      <c r="F1401" s="603"/>
      <c r="G1401" s="604"/>
      <c r="H1401" s="605"/>
      <c r="I1401" s="675">
        <v>24.19</v>
      </c>
      <c r="J1401" s="675">
        <f t="shared" si="294"/>
        <v>24.19</v>
      </c>
      <c r="K1401" s="606">
        <f t="shared" si="291"/>
        <v>29.35</v>
      </c>
      <c r="L1401" s="389" t="s">
        <v>21</v>
      </c>
      <c r="M1401" s="30"/>
      <c r="N1401" s="30"/>
      <c r="O1401" s="287">
        <f t="shared" si="292"/>
        <v>0</v>
      </c>
      <c r="P1401" s="287">
        <f t="shared" si="293"/>
        <v>0</v>
      </c>
      <c r="Q1401" s="288"/>
      <c r="R1401" s="243"/>
      <c r="S1401" s="385" t="str">
        <f t="shared" si="290"/>
        <v/>
      </c>
    </row>
    <row r="1402" spans="2:19" ht="26.25" hidden="1" thickBot="1">
      <c r="B1402" s="609">
        <v>91996</v>
      </c>
      <c r="C1402" s="610" t="s">
        <v>843</v>
      </c>
      <c r="D1402" s="611" t="s">
        <v>1534</v>
      </c>
      <c r="E1402" s="602"/>
      <c r="F1402" s="603"/>
      <c r="G1402" s="604"/>
      <c r="H1402" s="605"/>
      <c r="I1402" s="675">
        <v>29.65</v>
      </c>
      <c r="J1402" s="675">
        <f t="shared" si="294"/>
        <v>29.65</v>
      </c>
      <c r="K1402" s="606">
        <f t="shared" si="291"/>
        <v>35.979999999999997</v>
      </c>
      <c r="L1402" s="389" t="s">
        <v>21</v>
      </c>
      <c r="M1402" s="30"/>
      <c r="N1402" s="30"/>
      <c r="O1402" s="287">
        <f t="shared" si="292"/>
        <v>0</v>
      </c>
      <c r="P1402" s="287">
        <f t="shared" si="293"/>
        <v>0</v>
      </c>
      <c r="Q1402" s="288"/>
      <c r="R1402" s="243"/>
      <c r="S1402" s="385" t="str">
        <f t="shared" si="290"/>
        <v/>
      </c>
    </row>
    <row r="1403" spans="2:19" ht="26.25" hidden="1" thickBot="1">
      <c r="B1403" s="609">
        <v>91997</v>
      </c>
      <c r="C1403" s="610" t="s">
        <v>843</v>
      </c>
      <c r="D1403" s="611" t="s">
        <v>1535</v>
      </c>
      <c r="E1403" s="602"/>
      <c r="F1403" s="603"/>
      <c r="G1403" s="604"/>
      <c r="H1403" s="605"/>
      <c r="I1403" s="675">
        <v>31.91</v>
      </c>
      <c r="J1403" s="675">
        <f t="shared" si="294"/>
        <v>31.91</v>
      </c>
      <c r="K1403" s="606">
        <f t="shared" si="291"/>
        <v>38.72</v>
      </c>
      <c r="L1403" s="389" t="s">
        <v>21</v>
      </c>
      <c r="M1403" s="30"/>
      <c r="N1403" s="30"/>
      <c r="O1403" s="287">
        <f t="shared" si="292"/>
        <v>0</v>
      </c>
      <c r="P1403" s="287">
        <f t="shared" si="293"/>
        <v>0</v>
      </c>
      <c r="Q1403" s="288"/>
      <c r="R1403" s="243"/>
      <c r="S1403" s="385" t="str">
        <f t="shared" si="290"/>
        <v/>
      </c>
    </row>
    <row r="1404" spans="2:19" ht="26.25" hidden="1" thickBot="1">
      <c r="B1404" s="609">
        <v>91998</v>
      </c>
      <c r="C1404" s="610" t="s">
        <v>843</v>
      </c>
      <c r="D1404" s="611" t="s">
        <v>1536</v>
      </c>
      <c r="E1404" s="602"/>
      <c r="F1404" s="603"/>
      <c r="G1404" s="604"/>
      <c r="H1404" s="605"/>
      <c r="I1404" s="675">
        <v>18.649999999999999</v>
      </c>
      <c r="J1404" s="675">
        <f t="shared" si="294"/>
        <v>18.649999999999999</v>
      </c>
      <c r="K1404" s="606">
        <f t="shared" si="291"/>
        <v>22.63</v>
      </c>
      <c r="L1404" s="389" t="s">
        <v>21</v>
      </c>
      <c r="M1404" s="30"/>
      <c r="N1404" s="30"/>
      <c r="O1404" s="287">
        <f t="shared" si="292"/>
        <v>0</v>
      </c>
      <c r="P1404" s="287">
        <f t="shared" si="293"/>
        <v>0</v>
      </c>
      <c r="Q1404" s="288"/>
      <c r="R1404" s="243"/>
      <c r="S1404" s="385" t="str">
        <f t="shared" ref="S1404:S1467" si="295">IF(R1404="x","x",IF(R1404="y","x",IF(R1404="xy","x",IF(P1404&gt;0,"x",""))))</f>
        <v/>
      </c>
    </row>
    <row r="1405" spans="2:19" ht="26.25" hidden="1" thickBot="1">
      <c r="B1405" s="609">
        <v>91999</v>
      </c>
      <c r="C1405" s="610" t="s">
        <v>843</v>
      </c>
      <c r="D1405" s="611" t="s">
        <v>1537</v>
      </c>
      <c r="E1405" s="602"/>
      <c r="F1405" s="603"/>
      <c r="G1405" s="604"/>
      <c r="H1405" s="605"/>
      <c r="I1405" s="675">
        <v>20.91</v>
      </c>
      <c r="J1405" s="675">
        <f t="shared" si="294"/>
        <v>20.91</v>
      </c>
      <c r="K1405" s="606">
        <f t="shared" si="291"/>
        <v>25.37</v>
      </c>
      <c r="L1405" s="389" t="s">
        <v>21</v>
      </c>
      <c r="M1405" s="30"/>
      <c r="N1405" s="30"/>
      <c r="O1405" s="287">
        <f t="shared" si="292"/>
        <v>0</v>
      </c>
      <c r="P1405" s="287">
        <f t="shared" si="293"/>
        <v>0</v>
      </c>
      <c r="Q1405" s="288"/>
      <c r="R1405" s="243"/>
      <c r="S1405" s="385" t="str">
        <f t="shared" si="295"/>
        <v/>
      </c>
    </row>
    <row r="1406" spans="2:19" ht="26.25" hidden="1" thickBot="1">
      <c r="B1406" s="609">
        <v>92000</v>
      </c>
      <c r="C1406" s="610" t="s">
        <v>843</v>
      </c>
      <c r="D1406" s="611" t="s">
        <v>1538</v>
      </c>
      <c r="E1406" s="602"/>
      <c r="F1406" s="603"/>
      <c r="G1406" s="604"/>
      <c r="H1406" s="605"/>
      <c r="I1406" s="675">
        <v>26.37</v>
      </c>
      <c r="J1406" s="675">
        <f t="shared" si="294"/>
        <v>26.37</v>
      </c>
      <c r="K1406" s="606">
        <f t="shared" si="291"/>
        <v>32</v>
      </c>
      <c r="L1406" s="389" t="s">
        <v>21</v>
      </c>
      <c r="M1406" s="30"/>
      <c r="N1406" s="30"/>
      <c r="O1406" s="287">
        <f t="shared" si="292"/>
        <v>0</v>
      </c>
      <c r="P1406" s="287">
        <f t="shared" si="293"/>
        <v>0</v>
      </c>
      <c r="Q1406" s="288"/>
      <c r="R1406" s="243"/>
      <c r="S1406" s="385" t="str">
        <f t="shared" si="295"/>
        <v/>
      </c>
    </row>
    <row r="1407" spans="2:19" ht="26.25" hidden="1" thickBot="1">
      <c r="B1407" s="609">
        <v>92001</v>
      </c>
      <c r="C1407" s="610" t="s">
        <v>843</v>
      </c>
      <c r="D1407" s="611" t="s">
        <v>1539</v>
      </c>
      <c r="E1407" s="602"/>
      <c r="F1407" s="603"/>
      <c r="G1407" s="604"/>
      <c r="H1407" s="605"/>
      <c r="I1407" s="675">
        <v>28.63</v>
      </c>
      <c r="J1407" s="675">
        <f t="shared" si="294"/>
        <v>28.63</v>
      </c>
      <c r="K1407" s="606">
        <f t="shared" si="291"/>
        <v>34.74</v>
      </c>
      <c r="L1407" s="389" t="s">
        <v>21</v>
      </c>
      <c r="M1407" s="30"/>
      <c r="N1407" s="30"/>
      <c r="O1407" s="287">
        <f t="shared" si="292"/>
        <v>0</v>
      </c>
      <c r="P1407" s="287">
        <f t="shared" si="293"/>
        <v>0</v>
      </c>
      <c r="Q1407" s="288"/>
      <c r="R1407" s="243"/>
      <c r="S1407" s="385" t="str">
        <f t="shared" si="295"/>
        <v/>
      </c>
    </row>
    <row r="1408" spans="2:19" ht="26.25" hidden="1" thickBot="1">
      <c r="B1408" s="609">
        <v>92002</v>
      </c>
      <c r="C1408" s="610" t="s">
        <v>843</v>
      </c>
      <c r="D1408" s="611" t="s">
        <v>1540</v>
      </c>
      <c r="E1408" s="602"/>
      <c r="F1408" s="603"/>
      <c r="G1408" s="604"/>
      <c r="H1408" s="605"/>
      <c r="I1408" s="675">
        <v>41.12</v>
      </c>
      <c r="J1408" s="675">
        <f t="shared" si="294"/>
        <v>41.12</v>
      </c>
      <c r="K1408" s="606">
        <f t="shared" si="291"/>
        <v>49.9</v>
      </c>
      <c r="L1408" s="389" t="s">
        <v>21</v>
      </c>
      <c r="M1408" s="30"/>
      <c r="N1408" s="30"/>
      <c r="O1408" s="287">
        <f t="shared" si="292"/>
        <v>0</v>
      </c>
      <c r="P1408" s="287">
        <f t="shared" si="293"/>
        <v>0</v>
      </c>
      <c r="Q1408" s="288"/>
      <c r="R1408" s="243"/>
      <c r="S1408" s="385" t="str">
        <f t="shared" si="295"/>
        <v/>
      </c>
    </row>
    <row r="1409" spans="2:19" ht="26.25" hidden="1" thickBot="1">
      <c r="B1409" s="609">
        <v>92003</v>
      </c>
      <c r="C1409" s="610" t="s">
        <v>843</v>
      </c>
      <c r="D1409" s="611" t="s">
        <v>1541</v>
      </c>
      <c r="E1409" s="602"/>
      <c r="F1409" s="603"/>
      <c r="G1409" s="604"/>
      <c r="H1409" s="605"/>
      <c r="I1409" s="675">
        <v>45.64</v>
      </c>
      <c r="J1409" s="675">
        <f t="shared" si="294"/>
        <v>45.64</v>
      </c>
      <c r="K1409" s="606">
        <f t="shared" si="291"/>
        <v>55.38</v>
      </c>
      <c r="L1409" s="389" t="s">
        <v>21</v>
      </c>
      <c r="M1409" s="30"/>
      <c r="N1409" s="30"/>
      <c r="O1409" s="287">
        <f t="shared" si="292"/>
        <v>0</v>
      </c>
      <c r="P1409" s="287">
        <f t="shared" si="293"/>
        <v>0</v>
      </c>
      <c r="Q1409" s="288"/>
      <c r="R1409" s="243"/>
      <c r="S1409" s="385" t="str">
        <f t="shared" si="295"/>
        <v/>
      </c>
    </row>
    <row r="1410" spans="2:19" ht="26.25" hidden="1" thickBot="1">
      <c r="B1410" s="609">
        <v>92004</v>
      </c>
      <c r="C1410" s="610" t="s">
        <v>843</v>
      </c>
      <c r="D1410" s="611" t="s">
        <v>1542</v>
      </c>
      <c r="E1410" s="602"/>
      <c r="F1410" s="603"/>
      <c r="G1410" s="604"/>
      <c r="H1410" s="605"/>
      <c r="I1410" s="675">
        <v>48.84</v>
      </c>
      <c r="J1410" s="675">
        <f t="shared" si="294"/>
        <v>48.84</v>
      </c>
      <c r="K1410" s="606">
        <f t="shared" si="291"/>
        <v>59.27</v>
      </c>
      <c r="L1410" s="389" t="s">
        <v>21</v>
      </c>
      <c r="M1410" s="30"/>
      <c r="N1410" s="30"/>
      <c r="O1410" s="287">
        <f t="shared" si="292"/>
        <v>0</v>
      </c>
      <c r="P1410" s="287">
        <f t="shared" si="293"/>
        <v>0</v>
      </c>
      <c r="Q1410" s="288"/>
      <c r="R1410" s="243"/>
      <c r="S1410" s="385" t="str">
        <f t="shared" si="295"/>
        <v/>
      </c>
    </row>
    <row r="1411" spans="2:19" ht="26.25" hidden="1" thickBot="1">
      <c r="B1411" s="609">
        <v>92005</v>
      </c>
      <c r="C1411" s="610" t="s">
        <v>843</v>
      </c>
      <c r="D1411" s="611" t="s">
        <v>1543</v>
      </c>
      <c r="E1411" s="602"/>
      <c r="F1411" s="603"/>
      <c r="G1411" s="604"/>
      <c r="H1411" s="605"/>
      <c r="I1411" s="675">
        <v>53.36</v>
      </c>
      <c r="J1411" s="675">
        <f t="shared" si="294"/>
        <v>53.36</v>
      </c>
      <c r="K1411" s="606">
        <f t="shared" si="291"/>
        <v>64.75</v>
      </c>
      <c r="L1411" s="389" t="s">
        <v>21</v>
      </c>
      <c r="M1411" s="30"/>
      <c r="N1411" s="30"/>
      <c r="O1411" s="287">
        <f t="shared" si="292"/>
        <v>0</v>
      </c>
      <c r="P1411" s="287">
        <f t="shared" si="293"/>
        <v>0</v>
      </c>
      <c r="Q1411" s="288"/>
      <c r="R1411" s="243"/>
      <c r="S1411" s="385" t="str">
        <f t="shared" si="295"/>
        <v/>
      </c>
    </row>
    <row r="1412" spans="2:19" ht="26.25" hidden="1" thickBot="1">
      <c r="B1412" s="609">
        <v>92006</v>
      </c>
      <c r="C1412" s="610" t="s">
        <v>843</v>
      </c>
      <c r="D1412" s="611" t="s">
        <v>1544</v>
      </c>
      <c r="E1412" s="602"/>
      <c r="F1412" s="603"/>
      <c r="G1412" s="604"/>
      <c r="H1412" s="605"/>
      <c r="I1412" s="675">
        <v>34.549999999999997</v>
      </c>
      <c r="J1412" s="675">
        <f t="shared" si="294"/>
        <v>34.549999999999997</v>
      </c>
      <c r="K1412" s="606">
        <f t="shared" si="291"/>
        <v>41.93</v>
      </c>
      <c r="L1412" s="389" t="s">
        <v>21</v>
      </c>
      <c r="M1412" s="30"/>
      <c r="N1412" s="30"/>
      <c r="O1412" s="287">
        <f t="shared" si="292"/>
        <v>0</v>
      </c>
      <c r="P1412" s="287">
        <f t="shared" si="293"/>
        <v>0</v>
      </c>
      <c r="Q1412" s="288"/>
      <c r="R1412" s="243"/>
      <c r="S1412" s="385" t="str">
        <f t="shared" si="295"/>
        <v/>
      </c>
    </row>
    <row r="1413" spans="2:19" ht="26.25" hidden="1" thickBot="1">
      <c r="B1413" s="609">
        <v>92007</v>
      </c>
      <c r="C1413" s="610" t="s">
        <v>843</v>
      </c>
      <c r="D1413" s="611" t="s">
        <v>1545</v>
      </c>
      <c r="E1413" s="602"/>
      <c r="F1413" s="603"/>
      <c r="G1413" s="604"/>
      <c r="H1413" s="605"/>
      <c r="I1413" s="675">
        <v>39.07</v>
      </c>
      <c r="J1413" s="675">
        <f t="shared" si="294"/>
        <v>39.07</v>
      </c>
      <c r="K1413" s="606">
        <f t="shared" si="291"/>
        <v>47.41</v>
      </c>
      <c r="L1413" s="389" t="s">
        <v>21</v>
      </c>
      <c r="M1413" s="30"/>
      <c r="N1413" s="30"/>
      <c r="O1413" s="287">
        <f t="shared" si="292"/>
        <v>0</v>
      </c>
      <c r="P1413" s="287">
        <f t="shared" si="293"/>
        <v>0</v>
      </c>
      <c r="Q1413" s="288"/>
      <c r="R1413" s="243"/>
      <c r="S1413" s="385" t="str">
        <f t="shared" si="295"/>
        <v/>
      </c>
    </row>
    <row r="1414" spans="2:19" ht="26.25" hidden="1" thickBot="1">
      <c r="B1414" s="609">
        <v>92008</v>
      </c>
      <c r="C1414" s="610" t="s">
        <v>843</v>
      </c>
      <c r="D1414" s="611" t="s">
        <v>1546</v>
      </c>
      <c r="E1414" s="602"/>
      <c r="F1414" s="603"/>
      <c r="G1414" s="604"/>
      <c r="H1414" s="605"/>
      <c r="I1414" s="675">
        <v>42.27</v>
      </c>
      <c r="J1414" s="675">
        <f t="shared" si="294"/>
        <v>42.27</v>
      </c>
      <c r="K1414" s="606">
        <f t="shared" si="291"/>
        <v>51.29</v>
      </c>
      <c r="L1414" s="389" t="s">
        <v>21</v>
      </c>
      <c r="M1414" s="30"/>
      <c r="N1414" s="30"/>
      <c r="O1414" s="287">
        <f t="shared" si="292"/>
        <v>0</v>
      </c>
      <c r="P1414" s="287">
        <f t="shared" si="293"/>
        <v>0</v>
      </c>
      <c r="Q1414" s="288"/>
      <c r="R1414" s="243"/>
      <c r="S1414" s="385" t="str">
        <f t="shared" si="295"/>
        <v/>
      </c>
    </row>
    <row r="1415" spans="2:19" ht="26.25" hidden="1" thickBot="1">
      <c r="B1415" s="609">
        <v>92009</v>
      </c>
      <c r="C1415" s="610" t="s">
        <v>843</v>
      </c>
      <c r="D1415" s="611" t="s">
        <v>1547</v>
      </c>
      <c r="E1415" s="602"/>
      <c r="F1415" s="603"/>
      <c r="G1415" s="604"/>
      <c r="H1415" s="605"/>
      <c r="I1415" s="675">
        <v>46.79</v>
      </c>
      <c r="J1415" s="675">
        <f t="shared" si="294"/>
        <v>46.79</v>
      </c>
      <c r="K1415" s="606">
        <f t="shared" si="291"/>
        <v>56.78</v>
      </c>
      <c r="L1415" s="389" t="s">
        <v>21</v>
      </c>
      <c r="M1415" s="30"/>
      <c r="N1415" s="30"/>
      <c r="O1415" s="287">
        <f t="shared" si="292"/>
        <v>0</v>
      </c>
      <c r="P1415" s="287">
        <f t="shared" si="293"/>
        <v>0</v>
      </c>
      <c r="Q1415" s="288"/>
      <c r="R1415" s="243"/>
      <c r="S1415" s="385" t="str">
        <f t="shared" si="295"/>
        <v/>
      </c>
    </row>
    <row r="1416" spans="2:19" ht="26.25" hidden="1" thickBot="1">
      <c r="B1416" s="609">
        <v>92010</v>
      </c>
      <c r="C1416" s="610" t="s">
        <v>843</v>
      </c>
      <c r="D1416" s="611" t="s">
        <v>1548</v>
      </c>
      <c r="E1416" s="602"/>
      <c r="F1416" s="603"/>
      <c r="G1416" s="604"/>
      <c r="H1416" s="605"/>
      <c r="I1416" s="675">
        <v>60.32</v>
      </c>
      <c r="J1416" s="675">
        <f t="shared" si="294"/>
        <v>60.32</v>
      </c>
      <c r="K1416" s="606">
        <f t="shared" si="291"/>
        <v>73.2</v>
      </c>
      <c r="L1416" s="389" t="s">
        <v>21</v>
      </c>
      <c r="M1416" s="30"/>
      <c r="N1416" s="30"/>
      <c r="O1416" s="287">
        <f t="shared" si="292"/>
        <v>0</v>
      </c>
      <c r="P1416" s="287">
        <f t="shared" si="293"/>
        <v>0</v>
      </c>
      <c r="Q1416" s="288"/>
      <c r="R1416" s="243"/>
      <c r="S1416" s="385" t="str">
        <f t="shared" si="295"/>
        <v/>
      </c>
    </row>
    <row r="1417" spans="2:19" ht="26.25" hidden="1" thickBot="1">
      <c r="B1417" s="609">
        <v>92011</v>
      </c>
      <c r="C1417" s="610" t="s">
        <v>843</v>
      </c>
      <c r="D1417" s="611" t="s">
        <v>1549</v>
      </c>
      <c r="E1417" s="602"/>
      <c r="F1417" s="603"/>
      <c r="G1417" s="604"/>
      <c r="H1417" s="605"/>
      <c r="I1417" s="675">
        <v>67.099999999999994</v>
      </c>
      <c r="J1417" s="675">
        <f t="shared" si="294"/>
        <v>67.099999999999994</v>
      </c>
      <c r="K1417" s="606">
        <f t="shared" si="291"/>
        <v>81.430000000000007</v>
      </c>
      <c r="L1417" s="389" t="s">
        <v>21</v>
      </c>
      <c r="M1417" s="30"/>
      <c r="N1417" s="30"/>
      <c r="O1417" s="287">
        <f t="shared" si="292"/>
        <v>0</v>
      </c>
      <c r="P1417" s="287">
        <f t="shared" si="293"/>
        <v>0</v>
      </c>
      <c r="Q1417" s="288"/>
      <c r="R1417" s="243"/>
      <c r="S1417" s="385" t="str">
        <f t="shared" si="295"/>
        <v/>
      </c>
    </row>
    <row r="1418" spans="2:19" ht="26.25" hidden="1" thickBot="1">
      <c r="B1418" s="609">
        <v>92012</v>
      </c>
      <c r="C1418" s="610" t="s">
        <v>843</v>
      </c>
      <c r="D1418" s="611" t="s">
        <v>1550</v>
      </c>
      <c r="E1418" s="602"/>
      <c r="F1418" s="603"/>
      <c r="G1418" s="604"/>
      <c r="H1418" s="605"/>
      <c r="I1418" s="675">
        <v>68.040000000000006</v>
      </c>
      <c r="J1418" s="675">
        <f t="shared" si="294"/>
        <v>68.040000000000006</v>
      </c>
      <c r="K1418" s="606">
        <f t="shared" si="291"/>
        <v>82.57</v>
      </c>
      <c r="L1418" s="389" t="s">
        <v>21</v>
      </c>
      <c r="M1418" s="30"/>
      <c r="N1418" s="30"/>
      <c r="O1418" s="287">
        <f t="shared" si="292"/>
        <v>0</v>
      </c>
      <c r="P1418" s="287">
        <f t="shared" si="293"/>
        <v>0</v>
      </c>
      <c r="Q1418" s="288"/>
      <c r="R1418" s="243"/>
      <c r="S1418" s="385" t="str">
        <f t="shared" si="295"/>
        <v/>
      </c>
    </row>
    <row r="1419" spans="2:19" ht="26.25" hidden="1" thickBot="1">
      <c r="B1419" s="609">
        <v>92013</v>
      </c>
      <c r="C1419" s="610" t="s">
        <v>843</v>
      </c>
      <c r="D1419" s="611" t="s">
        <v>1551</v>
      </c>
      <c r="E1419" s="602"/>
      <c r="F1419" s="603"/>
      <c r="G1419" s="604"/>
      <c r="H1419" s="605"/>
      <c r="I1419" s="675">
        <v>74.819999999999993</v>
      </c>
      <c r="J1419" s="675">
        <f t="shared" si="294"/>
        <v>74.819999999999993</v>
      </c>
      <c r="K1419" s="606">
        <f t="shared" si="291"/>
        <v>90.79</v>
      </c>
      <c r="L1419" s="389" t="s">
        <v>21</v>
      </c>
      <c r="M1419" s="30"/>
      <c r="N1419" s="30"/>
      <c r="O1419" s="287">
        <f t="shared" si="292"/>
        <v>0</v>
      </c>
      <c r="P1419" s="287">
        <f t="shared" si="293"/>
        <v>0</v>
      </c>
      <c r="Q1419" s="288"/>
      <c r="R1419" s="243"/>
      <c r="S1419" s="385" t="str">
        <f t="shared" si="295"/>
        <v/>
      </c>
    </row>
    <row r="1420" spans="2:19" ht="26.25" hidden="1" thickBot="1">
      <c r="B1420" s="609">
        <v>92014</v>
      </c>
      <c r="C1420" s="610" t="s">
        <v>843</v>
      </c>
      <c r="D1420" s="611" t="s">
        <v>1552</v>
      </c>
      <c r="E1420" s="602"/>
      <c r="F1420" s="603"/>
      <c r="G1420" s="604"/>
      <c r="H1420" s="605"/>
      <c r="I1420" s="675">
        <v>50.46</v>
      </c>
      <c r="J1420" s="675">
        <f t="shared" si="294"/>
        <v>50.46</v>
      </c>
      <c r="K1420" s="606">
        <f t="shared" si="291"/>
        <v>61.23</v>
      </c>
      <c r="L1420" s="389" t="s">
        <v>21</v>
      </c>
      <c r="M1420" s="30"/>
      <c r="N1420" s="30"/>
      <c r="O1420" s="287">
        <f t="shared" si="292"/>
        <v>0</v>
      </c>
      <c r="P1420" s="287">
        <f t="shared" si="293"/>
        <v>0</v>
      </c>
      <c r="Q1420" s="288"/>
      <c r="R1420" s="243"/>
      <c r="S1420" s="385" t="str">
        <f t="shared" si="295"/>
        <v/>
      </c>
    </row>
    <row r="1421" spans="2:19" ht="26.25" hidden="1" thickBot="1">
      <c r="B1421" s="609">
        <v>92015</v>
      </c>
      <c r="C1421" s="610" t="s">
        <v>843</v>
      </c>
      <c r="D1421" s="611" t="s">
        <v>1553</v>
      </c>
      <c r="E1421" s="602"/>
      <c r="F1421" s="603"/>
      <c r="G1421" s="604"/>
      <c r="H1421" s="605"/>
      <c r="I1421" s="675">
        <v>57.24</v>
      </c>
      <c r="J1421" s="675">
        <f t="shared" si="294"/>
        <v>57.24</v>
      </c>
      <c r="K1421" s="606">
        <f t="shared" si="291"/>
        <v>69.459999999999994</v>
      </c>
      <c r="L1421" s="389" t="s">
        <v>21</v>
      </c>
      <c r="M1421" s="30"/>
      <c r="N1421" s="30"/>
      <c r="O1421" s="287">
        <f t="shared" si="292"/>
        <v>0</v>
      </c>
      <c r="P1421" s="287">
        <f t="shared" si="293"/>
        <v>0</v>
      </c>
      <c r="Q1421" s="288"/>
      <c r="R1421" s="243"/>
      <c r="S1421" s="385" t="str">
        <f t="shared" si="295"/>
        <v/>
      </c>
    </row>
    <row r="1422" spans="2:19" ht="26.25" hidden="1" thickBot="1">
      <c r="B1422" s="609">
        <v>92016</v>
      </c>
      <c r="C1422" s="610" t="s">
        <v>843</v>
      </c>
      <c r="D1422" s="611" t="s">
        <v>1554</v>
      </c>
      <c r="E1422" s="602"/>
      <c r="F1422" s="603"/>
      <c r="G1422" s="604"/>
      <c r="H1422" s="605"/>
      <c r="I1422" s="675">
        <v>58.18</v>
      </c>
      <c r="J1422" s="675">
        <f t="shared" si="294"/>
        <v>58.18</v>
      </c>
      <c r="K1422" s="606">
        <f t="shared" si="291"/>
        <v>70.599999999999994</v>
      </c>
      <c r="L1422" s="389" t="s">
        <v>21</v>
      </c>
      <c r="M1422" s="30"/>
      <c r="N1422" s="30"/>
      <c r="O1422" s="287">
        <f t="shared" si="292"/>
        <v>0</v>
      </c>
      <c r="P1422" s="287">
        <f t="shared" si="293"/>
        <v>0</v>
      </c>
      <c r="Q1422" s="288"/>
      <c r="R1422" s="243"/>
      <c r="S1422" s="385" t="str">
        <f t="shared" si="295"/>
        <v/>
      </c>
    </row>
    <row r="1423" spans="2:19" ht="26.25" hidden="1" thickBot="1">
      <c r="B1423" s="609">
        <v>92017</v>
      </c>
      <c r="C1423" s="610" t="s">
        <v>843</v>
      </c>
      <c r="D1423" s="611" t="s">
        <v>1555</v>
      </c>
      <c r="E1423" s="602"/>
      <c r="F1423" s="603"/>
      <c r="G1423" s="604"/>
      <c r="H1423" s="605"/>
      <c r="I1423" s="675">
        <v>64.959999999999994</v>
      </c>
      <c r="J1423" s="675">
        <f t="shared" si="294"/>
        <v>64.959999999999994</v>
      </c>
      <c r="K1423" s="606">
        <f t="shared" si="291"/>
        <v>78.83</v>
      </c>
      <c r="L1423" s="389" t="s">
        <v>21</v>
      </c>
      <c r="M1423" s="30"/>
      <c r="N1423" s="30"/>
      <c r="O1423" s="287">
        <f t="shared" si="292"/>
        <v>0</v>
      </c>
      <c r="P1423" s="287">
        <f t="shared" si="293"/>
        <v>0</v>
      </c>
      <c r="Q1423" s="288"/>
      <c r="R1423" s="243"/>
      <c r="S1423" s="385" t="str">
        <f t="shared" si="295"/>
        <v/>
      </c>
    </row>
    <row r="1424" spans="2:19" ht="26.25" hidden="1" thickBot="1">
      <c r="B1424" s="609">
        <v>92018</v>
      </c>
      <c r="C1424" s="610" t="s">
        <v>843</v>
      </c>
      <c r="D1424" s="611" t="s">
        <v>1556</v>
      </c>
      <c r="E1424" s="602"/>
      <c r="F1424" s="603"/>
      <c r="G1424" s="604"/>
      <c r="H1424" s="605"/>
      <c r="I1424" s="675">
        <v>66.819999999999993</v>
      </c>
      <c r="J1424" s="675">
        <f t="shared" si="294"/>
        <v>66.819999999999993</v>
      </c>
      <c r="K1424" s="606">
        <f t="shared" si="291"/>
        <v>81.09</v>
      </c>
      <c r="L1424" s="389" t="s">
        <v>21</v>
      </c>
      <c r="M1424" s="30"/>
      <c r="N1424" s="30"/>
      <c r="O1424" s="287">
        <f t="shared" si="292"/>
        <v>0</v>
      </c>
      <c r="P1424" s="287">
        <f t="shared" si="293"/>
        <v>0</v>
      </c>
      <c r="Q1424" s="288"/>
      <c r="R1424" s="243"/>
      <c r="S1424" s="385" t="str">
        <f t="shared" si="295"/>
        <v/>
      </c>
    </row>
    <row r="1425" spans="2:19" ht="26.25" hidden="1" thickBot="1">
      <c r="B1425" s="609">
        <v>92019</v>
      </c>
      <c r="C1425" s="610" t="s">
        <v>843</v>
      </c>
      <c r="D1425" s="611" t="s">
        <v>1557</v>
      </c>
      <c r="E1425" s="602"/>
      <c r="F1425" s="603"/>
      <c r="G1425" s="604"/>
      <c r="H1425" s="605"/>
      <c r="I1425" s="675">
        <v>79.19</v>
      </c>
      <c r="J1425" s="675">
        <f t="shared" si="294"/>
        <v>79.19</v>
      </c>
      <c r="K1425" s="606">
        <f t="shared" ref="K1425:K1488" si="296">IF(ISBLANK(I1425),0,ROUND(J1425*(1+$F$10)*(1+$F$11*E1425),2))</f>
        <v>96.1</v>
      </c>
      <c r="L1425" s="389" t="s">
        <v>21</v>
      </c>
      <c r="M1425" s="30"/>
      <c r="N1425" s="30"/>
      <c r="O1425" s="287">
        <f t="shared" ref="O1425:O1488" si="297">IF(ISBLANK(M1425),0,ROUND(K1425*M1425,2))</f>
        <v>0</v>
      </c>
      <c r="P1425" s="287">
        <f t="shared" ref="P1425:P1488" si="298">IF(ISBLANK(N1425),0,ROUND(M1425*N1425,2))</f>
        <v>0</v>
      </c>
      <c r="Q1425" s="288"/>
      <c r="R1425" s="243"/>
      <c r="S1425" s="385" t="str">
        <f t="shared" si="295"/>
        <v/>
      </c>
    </row>
    <row r="1426" spans="2:19" ht="26.25" hidden="1" thickBot="1">
      <c r="B1426" s="609">
        <v>92020</v>
      </c>
      <c r="C1426" s="610" t="s">
        <v>843</v>
      </c>
      <c r="D1426" s="611" t="s">
        <v>1558</v>
      </c>
      <c r="E1426" s="602"/>
      <c r="F1426" s="603"/>
      <c r="G1426" s="604"/>
      <c r="H1426" s="605"/>
      <c r="I1426" s="675">
        <v>98.87</v>
      </c>
      <c r="J1426" s="675">
        <f t="shared" si="294"/>
        <v>98.87</v>
      </c>
      <c r="K1426" s="606">
        <f t="shared" si="296"/>
        <v>119.98</v>
      </c>
      <c r="L1426" s="389" t="s">
        <v>21</v>
      </c>
      <c r="M1426" s="30"/>
      <c r="N1426" s="30"/>
      <c r="O1426" s="287">
        <f t="shared" si="297"/>
        <v>0</v>
      </c>
      <c r="P1426" s="287">
        <f t="shared" si="298"/>
        <v>0</v>
      </c>
      <c r="Q1426" s="288"/>
      <c r="R1426" s="243"/>
      <c r="S1426" s="385" t="str">
        <f t="shared" si="295"/>
        <v/>
      </c>
    </row>
    <row r="1427" spans="2:19" ht="26.25" hidden="1" thickBot="1">
      <c r="B1427" s="609">
        <v>92021</v>
      </c>
      <c r="C1427" s="610" t="s">
        <v>843</v>
      </c>
      <c r="D1427" s="611" t="s">
        <v>1559</v>
      </c>
      <c r="E1427" s="602"/>
      <c r="F1427" s="603"/>
      <c r="G1427" s="604"/>
      <c r="H1427" s="605"/>
      <c r="I1427" s="675">
        <v>111.24</v>
      </c>
      <c r="J1427" s="675">
        <f t="shared" si="294"/>
        <v>111.24</v>
      </c>
      <c r="K1427" s="606">
        <f t="shared" si="296"/>
        <v>134.99</v>
      </c>
      <c r="L1427" s="389" t="s">
        <v>21</v>
      </c>
      <c r="M1427" s="30"/>
      <c r="N1427" s="30"/>
      <c r="O1427" s="287">
        <f t="shared" si="297"/>
        <v>0</v>
      </c>
      <c r="P1427" s="287">
        <f t="shared" si="298"/>
        <v>0</v>
      </c>
      <c r="Q1427" s="288"/>
      <c r="R1427" s="243"/>
      <c r="S1427" s="385" t="str">
        <f t="shared" si="295"/>
        <v/>
      </c>
    </row>
    <row r="1428" spans="2:19" ht="26.25" hidden="1" thickBot="1">
      <c r="B1428" s="609">
        <v>93141</v>
      </c>
      <c r="C1428" s="610" t="s">
        <v>843</v>
      </c>
      <c r="D1428" s="611" t="s">
        <v>1560</v>
      </c>
      <c r="E1428" s="602"/>
      <c r="F1428" s="603"/>
      <c r="G1428" s="604"/>
      <c r="H1428" s="605"/>
      <c r="I1428" s="675">
        <v>163.87</v>
      </c>
      <c r="J1428" s="675">
        <f t="shared" si="294"/>
        <v>163.87</v>
      </c>
      <c r="K1428" s="606">
        <f t="shared" si="296"/>
        <v>198.86</v>
      </c>
      <c r="L1428" s="389" t="s">
        <v>21</v>
      </c>
      <c r="M1428" s="30"/>
      <c r="N1428" s="30"/>
      <c r="O1428" s="287">
        <f t="shared" si="297"/>
        <v>0</v>
      </c>
      <c r="P1428" s="287">
        <f t="shared" si="298"/>
        <v>0</v>
      </c>
      <c r="Q1428" s="288"/>
      <c r="R1428" s="243"/>
      <c r="S1428" s="385" t="str">
        <f t="shared" si="295"/>
        <v/>
      </c>
    </row>
    <row r="1429" spans="2:19" ht="26.25" hidden="1" thickBot="1">
      <c r="B1429" s="609">
        <v>93142</v>
      </c>
      <c r="C1429" s="610" t="s">
        <v>843</v>
      </c>
      <c r="D1429" s="611" t="s">
        <v>1561</v>
      </c>
      <c r="E1429" s="602"/>
      <c r="F1429" s="603"/>
      <c r="G1429" s="604"/>
      <c r="H1429" s="605"/>
      <c r="I1429" s="675">
        <v>183.06</v>
      </c>
      <c r="J1429" s="675">
        <f t="shared" si="294"/>
        <v>183.06</v>
      </c>
      <c r="K1429" s="606">
        <f t="shared" si="296"/>
        <v>222.14</v>
      </c>
      <c r="L1429" s="389" t="s">
        <v>21</v>
      </c>
      <c r="M1429" s="30"/>
      <c r="N1429" s="30"/>
      <c r="O1429" s="287">
        <f t="shared" si="297"/>
        <v>0</v>
      </c>
      <c r="P1429" s="287">
        <f t="shared" si="298"/>
        <v>0</v>
      </c>
      <c r="Q1429" s="288"/>
      <c r="R1429" s="243"/>
      <c r="S1429" s="385" t="str">
        <f t="shared" si="295"/>
        <v/>
      </c>
    </row>
    <row r="1430" spans="2:19" ht="26.25" hidden="1" thickBot="1">
      <c r="B1430" s="609">
        <v>93143</v>
      </c>
      <c r="C1430" s="610" t="s">
        <v>843</v>
      </c>
      <c r="D1430" s="611" t="s">
        <v>1562</v>
      </c>
      <c r="E1430" s="602"/>
      <c r="F1430" s="603"/>
      <c r="G1430" s="604"/>
      <c r="H1430" s="605"/>
      <c r="I1430" s="675">
        <v>166.13</v>
      </c>
      <c r="J1430" s="675">
        <f t="shared" si="294"/>
        <v>166.13</v>
      </c>
      <c r="K1430" s="606">
        <f t="shared" si="296"/>
        <v>201.6</v>
      </c>
      <c r="L1430" s="389" t="s">
        <v>21</v>
      </c>
      <c r="M1430" s="30"/>
      <c r="N1430" s="30"/>
      <c r="O1430" s="287">
        <f t="shared" si="297"/>
        <v>0</v>
      </c>
      <c r="P1430" s="287">
        <f t="shared" si="298"/>
        <v>0</v>
      </c>
      <c r="Q1430" s="288"/>
      <c r="R1430" s="243"/>
      <c r="S1430" s="385" t="str">
        <f t="shared" si="295"/>
        <v/>
      </c>
    </row>
    <row r="1431" spans="2:19" ht="26.25" hidden="1" thickBot="1">
      <c r="B1431" s="609">
        <v>93144</v>
      </c>
      <c r="C1431" s="610" t="s">
        <v>843</v>
      </c>
      <c r="D1431" s="611" t="s">
        <v>1563</v>
      </c>
      <c r="E1431" s="602"/>
      <c r="F1431" s="603"/>
      <c r="G1431" s="604"/>
      <c r="H1431" s="605"/>
      <c r="I1431" s="675">
        <v>211.38</v>
      </c>
      <c r="J1431" s="675">
        <f t="shared" si="294"/>
        <v>211.38</v>
      </c>
      <c r="K1431" s="606">
        <f t="shared" si="296"/>
        <v>256.51</v>
      </c>
      <c r="L1431" s="389" t="s">
        <v>21</v>
      </c>
      <c r="M1431" s="30"/>
      <c r="N1431" s="30"/>
      <c r="O1431" s="287">
        <f t="shared" si="297"/>
        <v>0</v>
      </c>
      <c r="P1431" s="287">
        <f t="shared" si="298"/>
        <v>0</v>
      </c>
      <c r="Q1431" s="288"/>
      <c r="R1431" s="243"/>
      <c r="S1431" s="385" t="str">
        <f t="shared" si="295"/>
        <v/>
      </c>
    </row>
    <row r="1432" spans="2:19" ht="39" hidden="1" thickBot="1">
      <c r="B1432" s="609">
        <v>93145</v>
      </c>
      <c r="C1432" s="610" t="s">
        <v>843</v>
      </c>
      <c r="D1432" s="611" t="s">
        <v>1564</v>
      </c>
      <c r="E1432" s="602"/>
      <c r="F1432" s="603"/>
      <c r="G1432" s="604"/>
      <c r="H1432" s="605"/>
      <c r="I1432" s="675">
        <v>198.84</v>
      </c>
      <c r="J1432" s="675">
        <f t="shared" si="294"/>
        <v>198.84</v>
      </c>
      <c r="K1432" s="606">
        <f t="shared" si="296"/>
        <v>241.29</v>
      </c>
      <c r="L1432" s="389" t="s">
        <v>21</v>
      </c>
      <c r="M1432" s="30"/>
      <c r="N1432" s="30"/>
      <c r="O1432" s="287">
        <f t="shared" si="297"/>
        <v>0</v>
      </c>
      <c r="P1432" s="287">
        <f t="shared" si="298"/>
        <v>0</v>
      </c>
      <c r="Q1432" s="288"/>
      <c r="R1432" s="243"/>
      <c r="S1432" s="385" t="str">
        <f t="shared" si="295"/>
        <v/>
      </c>
    </row>
    <row r="1433" spans="2:19" ht="39" hidden="1" thickBot="1">
      <c r="B1433" s="609">
        <v>93146</v>
      </c>
      <c r="C1433" s="610" t="s">
        <v>843</v>
      </c>
      <c r="D1433" s="611" t="s">
        <v>1565</v>
      </c>
      <c r="E1433" s="602"/>
      <c r="F1433" s="603"/>
      <c r="G1433" s="604"/>
      <c r="H1433" s="605"/>
      <c r="I1433" s="675">
        <v>214.97</v>
      </c>
      <c r="J1433" s="675">
        <f t="shared" si="294"/>
        <v>214.97</v>
      </c>
      <c r="K1433" s="606">
        <f t="shared" si="296"/>
        <v>260.87</v>
      </c>
      <c r="L1433" s="389" t="s">
        <v>21</v>
      </c>
      <c r="M1433" s="30"/>
      <c r="N1433" s="30"/>
      <c r="O1433" s="287">
        <f t="shared" si="297"/>
        <v>0</v>
      </c>
      <c r="P1433" s="287">
        <f t="shared" si="298"/>
        <v>0</v>
      </c>
      <c r="Q1433" s="288"/>
      <c r="R1433" s="243"/>
      <c r="S1433" s="385" t="str">
        <f t="shared" si="295"/>
        <v/>
      </c>
    </row>
    <row r="1434" spans="2:19" ht="39" hidden="1" thickBot="1">
      <c r="B1434" s="609">
        <v>93147</v>
      </c>
      <c r="C1434" s="610" t="s">
        <v>843</v>
      </c>
      <c r="D1434" s="611" t="s">
        <v>1566</v>
      </c>
      <c r="E1434" s="602"/>
      <c r="F1434" s="603"/>
      <c r="G1434" s="604"/>
      <c r="H1434" s="605"/>
      <c r="I1434" s="675">
        <v>244.87</v>
      </c>
      <c r="J1434" s="675">
        <f t="shared" si="294"/>
        <v>244.87</v>
      </c>
      <c r="K1434" s="606">
        <f t="shared" si="296"/>
        <v>297.14999999999998</v>
      </c>
      <c r="L1434" s="389" t="s">
        <v>21</v>
      </c>
      <c r="M1434" s="30"/>
      <c r="N1434" s="30"/>
      <c r="O1434" s="287">
        <f t="shared" si="297"/>
        <v>0</v>
      </c>
      <c r="P1434" s="287">
        <f t="shared" si="298"/>
        <v>0</v>
      </c>
      <c r="Q1434" s="288"/>
      <c r="R1434" s="243"/>
      <c r="S1434" s="385" t="str">
        <f t="shared" si="295"/>
        <v/>
      </c>
    </row>
    <row r="1435" spans="2:19" ht="26.25" hidden="1" thickBot="1">
      <c r="B1435" s="609">
        <v>93128</v>
      </c>
      <c r="C1435" s="610" t="s">
        <v>843</v>
      </c>
      <c r="D1435" s="611" t="s">
        <v>1567</v>
      </c>
      <c r="E1435" s="602"/>
      <c r="F1435" s="603"/>
      <c r="G1435" s="604"/>
      <c r="H1435" s="605"/>
      <c r="I1435" s="675">
        <v>135.29</v>
      </c>
      <c r="J1435" s="675">
        <f t="shared" si="294"/>
        <v>135.29</v>
      </c>
      <c r="K1435" s="606">
        <f t="shared" si="296"/>
        <v>164.17</v>
      </c>
      <c r="L1435" s="389" t="s">
        <v>21</v>
      </c>
      <c r="M1435" s="30"/>
      <c r="N1435" s="30"/>
      <c r="O1435" s="287">
        <f t="shared" si="297"/>
        <v>0</v>
      </c>
      <c r="P1435" s="287">
        <f t="shared" si="298"/>
        <v>0</v>
      </c>
      <c r="Q1435" s="288"/>
      <c r="R1435" s="243"/>
      <c r="S1435" s="385" t="str">
        <f t="shared" si="295"/>
        <v/>
      </c>
    </row>
    <row r="1436" spans="2:19" ht="26.25" hidden="1" thickBot="1">
      <c r="B1436" s="609">
        <v>93137</v>
      </c>
      <c r="C1436" s="610" t="s">
        <v>843</v>
      </c>
      <c r="D1436" s="611" t="s">
        <v>1568</v>
      </c>
      <c r="E1436" s="602"/>
      <c r="F1436" s="603"/>
      <c r="G1436" s="604"/>
      <c r="H1436" s="605"/>
      <c r="I1436" s="675">
        <v>160.07</v>
      </c>
      <c r="J1436" s="675">
        <f t="shared" ref="J1436:J1499" si="299">IF(ISBLANK(I1436),"",SUM(H1436:I1436))</f>
        <v>160.07</v>
      </c>
      <c r="K1436" s="606">
        <f t="shared" si="296"/>
        <v>194.24</v>
      </c>
      <c r="L1436" s="389" t="s">
        <v>21</v>
      </c>
      <c r="M1436" s="30"/>
      <c r="N1436" s="30"/>
      <c r="O1436" s="287">
        <f t="shared" si="297"/>
        <v>0</v>
      </c>
      <c r="P1436" s="287">
        <f t="shared" si="298"/>
        <v>0</v>
      </c>
      <c r="Q1436" s="288"/>
      <c r="R1436" s="243"/>
      <c r="S1436" s="385" t="str">
        <f t="shared" si="295"/>
        <v/>
      </c>
    </row>
    <row r="1437" spans="2:19" ht="26.25" hidden="1" thickBot="1">
      <c r="B1437" s="609">
        <v>93138</v>
      </c>
      <c r="C1437" s="610" t="s">
        <v>843</v>
      </c>
      <c r="D1437" s="611" t="s">
        <v>1569</v>
      </c>
      <c r="E1437" s="602"/>
      <c r="F1437" s="603"/>
      <c r="G1437" s="604"/>
      <c r="H1437" s="605"/>
      <c r="I1437" s="675">
        <v>151.43</v>
      </c>
      <c r="J1437" s="675">
        <f t="shared" si="299"/>
        <v>151.43</v>
      </c>
      <c r="K1437" s="606">
        <f t="shared" si="296"/>
        <v>183.76</v>
      </c>
      <c r="L1437" s="389" t="s">
        <v>21</v>
      </c>
      <c r="M1437" s="30"/>
      <c r="N1437" s="30"/>
      <c r="O1437" s="287">
        <f t="shared" si="297"/>
        <v>0</v>
      </c>
      <c r="P1437" s="287">
        <f t="shared" si="298"/>
        <v>0</v>
      </c>
      <c r="Q1437" s="288"/>
      <c r="R1437" s="243"/>
      <c r="S1437" s="385" t="str">
        <f t="shared" si="295"/>
        <v/>
      </c>
    </row>
    <row r="1438" spans="2:19" ht="26.25" hidden="1" thickBot="1">
      <c r="B1438" s="609">
        <v>93139</v>
      </c>
      <c r="C1438" s="610" t="s">
        <v>843</v>
      </c>
      <c r="D1438" s="611" t="s">
        <v>1570</v>
      </c>
      <c r="E1438" s="602"/>
      <c r="F1438" s="603"/>
      <c r="G1438" s="604"/>
      <c r="H1438" s="605"/>
      <c r="I1438" s="675">
        <v>192.29</v>
      </c>
      <c r="J1438" s="675">
        <f t="shared" si="299"/>
        <v>192.29</v>
      </c>
      <c r="K1438" s="606">
        <f t="shared" si="296"/>
        <v>233.34</v>
      </c>
      <c r="L1438" s="389" t="s">
        <v>21</v>
      </c>
      <c r="M1438" s="30"/>
      <c r="N1438" s="30"/>
      <c r="O1438" s="287">
        <f t="shared" si="297"/>
        <v>0</v>
      </c>
      <c r="P1438" s="287">
        <f t="shared" si="298"/>
        <v>0</v>
      </c>
      <c r="Q1438" s="288"/>
      <c r="R1438" s="243"/>
      <c r="S1438" s="385" t="str">
        <f t="shared" si="295"/>
        <v/>
      </c>
    </row>
    <row r="1439" spans="2:19" ht="39" hidden="1" thickBot="1">
      <c r="B1439" s="609">
        <v>93140</v>
      </c>
      <c r="C1439" s="610" t="s">
        <v>843</v>
      </c>
      <c r="D1439" s="611" t="s">
        <v>1571</v>
      </c>
      <c r="E1439" s="602"/>
      <c r="F1439" s="603"/>
      <c r="G1439" s="604"/>
      <c r="H1439" s="605"/>
      <c r="I1439" s="675">
        <v>181.28</v>
      </c>
      <c r="J1439" s="675">
        <f t="shared" si="299"/>
        <v>181.28</v>
      </c>
      <c r="K1439" s="606">
        <f t="shared" si="296"/>
        <v>219.98</v>
      </c>
      <c r="L1439" s="389" t="s">
        <v>21</v>
      </c>
      <c r="M1439" s="30"/>
      <c r="N1439" s="30"/>
      <c r="O1439" s="287">
        <f t="shared" si="297"/>
        <v>0</v>
      </c>
      <c r="P1439" s="287">
        <f t="shared" si="298"/>
        <v>0</v>
      </c>
      <c r="Q1439" s="288"/>
      <c r="R1439" s="243"/>
      <c r="S1439" s="385" t="str">
        <f t="shared" si="295"/>
        <v/>
      </c>
    </row>
    <row r="1440" spans="2:19" ht="26.25" hidden="1" thickBot="1">
      <c r="B1440" s="609">
        <v>97595</v>
      </c>
      <c r="C1440" s="610" t="s">
        <v>843</v>
      </c>
      <c r="D1440" s="611" t="s">
        <v>1572</v>
      </c>
      <c r="E1440" s="602"/>
      <c r="F1440" s="603"/>
      <c r="G1440" s="604"/>
      <c r="H1440" s="605"/>
      <c r="I1440" s="675">
        <v>59.5</v>
      </c>
      <c r="J1440" s="675">
        <f t="shared" si="299"/>
        <v>59.5</v>
      </c>
      <c r="K1440" s="606">
        <f t="shared" si="296"/>
        <v>72.2</v>
      </c>
      <c r="L1440" s="389" t="s">
        <v>21</v>
      </c>
      <c r="M1440" s="30"/>
      <c r="N1440" s="30"/>
      <c r="O1440" s="287">
        <f t="shared" si="297"/>
        <v>0</v>
      </c>
      <c r="P1440" s="287">
        <f t="shared" si="298"/>
        <v>0</v>
      </c>
      <c r="Q1440" s="288"/>
      <c r="R1440" s="243"/>
      <c r="S1440" s="385" t="str">
        <f t="shared" si="295"/>
        <v/>
      </c>
    </row>
    <row r="1441" spans="2:19" ht="26.25" hidden="1" thickBot="1">
      <c r="B1441" s="609">
        <v>97596</v>
      </c>
      <c r="C1441" s="610" t="s">
        <v>843</v>
      </c>
      <c r="D1441" s="611" t="s">
        <v>1573</v>
      </c>
      <c r="E1441" s="602"/>
      <c r="F1441" s="603"/>
      <c r="G1441" s="604"/>
      <c r="H1441" s="605"/>
      <c r="I1441" s="675">
        <v>44.02</v>
      </c>
      <c r="J1441" s="675">
        <f t="shared" si="299"/>
        <v>44.02</v>
      </c>
      <c r="K1441" s="606">
        <f t="shared" si="296"/>
        <v>53.42</v>
      </c>
      <c r="L1441" s="389" t="s">
        <v>21</v>
      </c>
      <c r="M1441" s="30"/>
      <c r="N1441" s="30"/>
      <c r="O1441" s="287">
        <f t="shared" si="297"/>
        <v>0</v>
      </c>
      <c r="P1441" s="287">
        <f t="shared" si="298"/>
        <v>0</v>
      </c>
      <c r="Q1441" s="288"/>
      <c r="R1441" s="243"/>
      <c r="S1441" s="385" t="str">
        <f t="shared" si="295"/>
        <v/>
      </c>
    </row>
    <row r="1442" spans="2:19" ht="13.5" hidden="1" thickBot="1">
      <c r="B1442" s="609">
        <v>97597</v>
      </c>
      <c r="C1442" s="610" t="s">
        <v>843</v>
      </c>
      <c r="D1442" s="611" t="s">
        <v>1574</v>
      </c>
      <c r="E1442" s="602"/>
      <c r="F1442" s="603"/>
      <c r="G1442" s="604"/>
      <c r="H1442" s="605"/>
      <c r="I1442" s="675">
        <v>40.840000000000003</v>
      </c>
      <c r="J1442" s="675">
        <f t="shared" si="299"/>
        <v>40.840000000000003</v>
      </c>
      <c r="K1442" s="606">
        <f t="shared" si="296"/>
        <v>49.56</v>
      </c>
      <c r="L1442" s="389" t="s">
        <v>21</v>
      </c>
      <c r="M1442" s="30"/>
      <c r="N1442" s="30"/>
      <c r="O1442" s="287">
        <f t="shared" si="297"/>
        <v>0</v>
      </c>
      <c r="P1442" s="287">
        <f t="shared" si="298"/>
        <v>0</v>
      </c>
      <c r="Q1442" s="288"/>
      <c r="R1442" s="243"/>
      <c r="S1442" s="385" t="str">
        <f t="shared" si="295"/>
        <v/>
      </c>
    </row>
    <row r="1443" spans="2:19" ht="13.5" hidden="1" thickBot="1">
      <c r="B1443" s="609">
        <v>97598</v>
      </c>
      <c r="C1443" s="610" t="s">
        <v>843</v>
      </c>
      <c r="D1443" s="611" t="s">
        <v>1575</v>
      </c>
      <c r="E1443" s="602"/>
      <c r="F1443" s="603"/>
      <c r="G1443" s="604"/>
      <c r="H1443" s="605"/>
      <c r="I1443" s="675">
        <v>38.869999999999997</v>
      </c>
      <c r="J1443" s="675">
        <f t="shared" si="299"/>
        <v>38.869999999999997</v>
      </c>
      <c r="K1443" s="606">
        <f t="shared" si="296"/>
        <v>47.17</v>
      </c>
      <c r="L1443" s="389" t="s">
        <v>21</v>
      </c>
      <c r="M1443" s="30"/>
      <c r="N1443" s="30"/>
      <c r="O1443" s="287">
        <f t="shared" si="297"/>
        <v>0</v>
      </c>
      <c r="P1443" s="287">
        <f t="shared" si="298"/>
        <v>0</v>
      </c>
      <c r="Q1443" s="288"/>
      <c r="R1443" s="243"/>
      <c r="S1443" s="385" t="str">
        <f t="shared" si="295"/>
        <v/>
      </c>
    </row>
    <row r="1444" spans="2:19" ht="26.25" hidden="1" thickBot="1">
      <c r="B1444" s="609">
        <v>97599</v>
      </c>
      <c r="C1444" s="610" t="s">
        <v>843</v>
      </c>
      <c r="D1444" s="611" t="s">
        <v>1576</v>
      </c>
      <c r="E1444" s="602"/>
      <c r="F1444" s="603"/>
      <c r="G1444" s="604"/>
      <c r="H1444" s="605"/>
      <c r="I1444" s="675">
        <v>30.74</v>
      </c>
      <c r="J1444" s="675">
        <f t="shared" si="299"/>
        <v>30.74</v>
      </c>
      <c r="K1444" s="606">
        <f t="shared" si="296"/>
        <v>37.299999999999997</v>
      </c>
      <c r="L1444" s="389" t="s">
        <v>21</v>
      </c>
      <c r="M1444" s="30"/>
      <c r="N1444" s="30"/>
      <c r="O1444" s="287">
        <f t="shared" si="297"/>
        <v>0</v>
      </c>
      <c r="P1444" s="287">
        <f t="shared" si="298"/>
        <v>0</v>
      </c>
      <c r="Q1444" s="288"/>
      <c r="R1444" s="243"/>
      <c r="S1444" s="385" t="str">
        <f t="shared" si="295"/>
        <v/>
      </c>
    </row>
    <row r="1445" spans="2:19" ht="26.25" hidden="1" thickBot="1">
      <c r="B1445" s="609">
        <v>97583</v>
      </c>
      <c r="C1445" s="610" t="s">
        <v>843</v>
      </c>
      <c r="D1445" s="611" t="s">
        <v>1577</v>
      </c>
      <c r="E1445" s="602"/>
      <c r="F1445" s="603"/>
      <c r="G1445" s="604"/>
      <c r="H1445" s="605"/>
      <c r="I1445" s="675">
        <v>48.35</v>
      </c>
      <c r="J1445" s="675">
        <f t="shared" si="299"/>
        <v>48.35</v>
      </c>
      <c r="K1445" s="606">
        <f t="shared" si="296"/>
        <v>58.67</v>
      </c>
      <c r="L1445" s="389" t="s">
        <v>21</v>
      </c>
      <c r="M1445" s="30"/>
      <c r="N1445" s="30"/>
      <c r="O1445" s="287">
        <f t="shared" si="297"/>
        <v>0</v>
      </c>
      <c r="P1445" s="287">
        <f t="shared" si="298"/>
        <v>0</v>
      </c>
      <c r="Q1445" s="288"/>
      <c r="R1445" s="243"/>
      <c r="S1445" s="385" t="str">
        <f t="shared" si="295"/>
        <v/>
      </c>
    </row>
    <row r="1446" spans="2:19" ht="26.25" hidden="1" thickBot="1">
      <c r="B1446" s="609">
        <v>101662</v>
      </c>
      <c r="C1446" s="610" t="s">
        <v>843</v>
      </c>
      <c r="D1446" s="611" t="s">
        <v>1578</v>
      </c>
      <c r="E1446" s="602"/>
      <c r="F1446" s="603"/>
      <c r="G1446" s="604"/>
      <c r="H1446" s="605"/>
      <c r="I1446" s="675">
        <v>398.04</v>
      </c>
      <c r="J1446" s="675">
        <f t="shared" si="299"/>
        <v>398.04</v>
      </c>
      <c r="K1446" s="606">
        <f t="shared" si="296"/>
        <v>483.02</v>
      </c>
      <c r="L1446" s="389" t="s">
        <v>21</v>
      </c>
      <c r="M1446" s="30"/>
      <c r="N1446" s="30"/>
      <c r="O1446" s="287">
        <f t="shared" si="297"/>
        <v>0</v>
      </c>
      <c r="P1446" s="287">
        <f t="shared" si="298"/>
        <v>0</v>
      </c>
      <c r="Q1446" s="288"/>
      <c r="R1446" s="243"/>
      <c r="S1446" s="385" t="str">
        <f t="shared" si="295"/>
        <v/>
      </c>
    </row>
    <row r="1447" spans="2:19" ht="26.25" hidden="1" thickBot="1">
      <c r="B1447" s="609">
        <v>101652</v>
      </c>
      <c r="C1447" s="610" t="s">
        <v>843</v>
      </c>
      <c r="D1447" s="611" t="s">
        <v>1579</v>
      </c>
      <c r="E1447" s="602"/>
      <c r="F1447" s="603"/>
      <c r="G1447" s="604"/>
      <c r="H1447" s="605"/>
      <c r="I1447" s="675">
        <v>276.89</v>
      </c>
      <c r="J1447" s="675">
        <f t="shared" si="299"/>
        <v>276.89</v>
      </c>
      <c r="K1447" s="606">
        <f t="shared" si="296"/>
        <v>336.01</v>
      </c>
      <c r="L1447" s="389" t="s">
        <v>21</v>
      </c>
      <c r="M1447" s="30"/>
      <c r="N1447" s="30"/>
      <c r="O1447" s="287">
        <f t="shared" si="297"/>
        <v>0</v>
      </c>
      <c r="P1447" s="287">
        <f t="shared" si="298"/>
        <v>0</v>
      </c>
      <c r="Q1447" s="288"/>
      <c r="R1447" s="243"/>
      <c r="S1447" s="385" t="str">
        <f t="shared" si="295"/>
        <v/>
      </c>
    </row>
    <row r="1448" spans="2:19" ht="39" hidden="1" thickBot="1">
      <c r="B1448" s="609">
        <v>101653</v>
      </c>
      <c r="C1448" s="610" t="s">
        <v>843</v>
      </c>
      <c r="D1448" s="611" t="s">
        <v>1580</v>
      </c>
      <c r="E1448" s="602"/>
      <c r="F1448" s="603"/>
      <c r="G1448" s="604"/>
      <c r="H1448" s="605"/>
      <c r="I1448" s="675">
        <v>182.08</v>
      </c>
      <c r="J1448" s="675">
        <f t="shared" si="299"/>
        <v>182.08</v>
      </c>
      <c r="K1448" s="606">
        <f t="shared" si="296"/>
        <v>220.95</v>
      </c>
      <c r="L1448" s="389" t="s">
        <v>21</v>
      </c>
      <c r="M1448" s="30"/>
      <c r="N1448" s="30"/>
      <c r="O1448" s="287">
        <f t="shared" si="297"/>
        <v>0</v>
      </c>
      <c r="P1448" s="287">
        <f t="shared" si="298"/>
        <v>0</v>
      </c>
      <c r="Q1448" s="288"/>
      <c r="R1448" s="243"/>
      <c r="S1448" s="385" t="str">
        <f t="shared" si="295"/>
        <v/>
      </c>
    </row>
    <row r="1449" spans="2:19" ht="26.25" hidden="1" thickBot="1">
      <c r="B1449" s="609">
        <v>97584</v>
      </c>
      <c r="C1449" s="610" t="s">
        <v>843</v>
      </c>
      <c r="D1449" s="611" t="s">
        <v>1581</v>
      </c>
      <c r="E1449" s="602"/>
      <c r="F1449" s="603"/>
      <c r="G1449" s="604"/>
      <c r="H1449" s="605"/>
      <c r="I1449" s="675">
        <v>65.52</v>
      </c>
      <c r="J1449" s="675">
        <f t="shared" si="299"/>
        <v>65.52</v>
      </c>
      <c r="K1449" s="606">
        <f t="shared" si="296"/>
        <v>79.510000000000005</v>
      </c>
      <c r="L1449" s="389" t="s">
        <v>21</v>
      </c>
      <c r="M1449" s="30"/>
      <c r="N1449" s="30"/>
      <c r="O1449" s="287">
        <f t="shared" si="297"/>
        <v>0</v>
      </c>
      <c r="P1449" s="287">
        <f t="shared" si="298"/>
        <v>0</v>
      </c>
      <c r="Q1449" s="288"/>
      <c r="R1449" s="243"/>
      <c r="S1449" s="385" t="str">
        <f t="shared" si="295"/>
        <v/>
      </c>
    </row>
    <row r="1450" spans="2:19" ht="26.25" hidden="1" thickBot="1">
      <c r="B1450" s="609">
        <v>97585</v>
      </c>
      <c r="C1450" s="610" t="s">
        <v>843</v>
      </c>
      <c r="D1450" s="611" t="s">
        <v>1582</v>
      </c>
      <c r="E1450" s="602"/>
      <c r="F1450" s="603"/>
      <c r="G1450" s="604"/>
      <c r="H1450" s="605"/>
      <c r="I1450" s="675">
        <v>63.96</v>
      </c>
      <c r="J1450" s="675">
        <f t="shared" si="299"/>
        <v>63.96</v>
      </c>
      <c r="K1450" s="606">
        <f t="shared" si="296"/>
        <v>77.62</v>
      </c>
      <c r="L1450" s="389" t="s">
        <v>21</v>
      </c>
      <c r="M1450" s="30"/>
      <c r="N1450" s="30"/>
      <c r="O1450" s="287">
        <f t="shared" si="297"/>
        <v>0</v>
      </c>
      <c r="P1450" s="287">
        <f t="shared" si="298"/>
        <v>0</v>
      </c>
      <c r="Q1450" s="288"/>
      <c r="R1450" s="243"/>
      <c r="S1450" s="385" t="str">
        <f t="shared" si="295"/>
        <v/>
      </c>
    </row>
    <row r="1451" spans="2:19" ht="26.25" hidden="1" thickBot="1">
      <c r="B1451" s="609">
        <v>97586</v>
      </c>
      <c r="C1451" s="610" t="s">
        <v>843</v>
      </c>
      <c r="D1451" s="611" t="s">
        <v>1583</v>
      </c>
      <c r="E1451" s="602"/>
      <c r="F1451" s="603"/>
      <c r="G1451" s="604"/>
      <c r="H1451" s="605"/>
      <c r="I1451" s="675">
        <v>84.7</v>
      </c>
      <c r="J1451" s="675">
        <f t="shared" si="299"/>
        <v>84.7</v>
      </c>
      <c r="K1451" s="606">
        <f t="shared" si="296"/>
        <v>102.78</v>
      </c>
      <c r="L1451" s="389" t="s">
        <v>21</v>
      </c>
      <c r="M1451" s="30"/>
      <c r="N1451" s="30"/>
      <c r="O1451" s="287">
        <f t="shared" si="297"/>
        <v>0</v>
      </c>
      <c r="P1451" s="287">
        <f t="shared" si="298"/>
        <v>0</v>
      </c>
      <c r="Q1451" s="288"/>
      <c r="R1451" s="243"/>
      <c r="S1451" s="385" t="str">
        <f t="shared" si="295"/>
        <v/>
      </c>
    </row>
    <row r="1452" spans="2:19" ht="26.25" hidden="1" thickBot="1">
      <c r="B1452" s="609">
        <v>97587</v>
      </c>
      <c r="C1452" s="610" t="s">
        <v>843</v>
      </c>
      <c r="D1452" s="611" t="s">
        <v>1584</v>
      </c>
      <c r="E1452" s="602"/>
      <c r="F1452" s="603"/>
      <c r="G1452" s="604"/>
      <c r="H1452" s="605"/>
      <c r="I1452" s="675">
        <v>148.69999999999999</v>
      </c>
      <c r="J1452" s="675">
        <f t="shared" si="299"/>
        <v>148.69999999999999</v>
      </c>
      <c r="K1452" s="606">
        <f t="shared" si="296"/>
        <v>180.45</v>
      </c>
      <c r="L1452" s="389" t="s">
        <v>21</v>
      </c>
      <c r="M1452" s="30"/>
      <c r="N1452" s="30"/>
      <c r="O1452" s="287">
        <f t="shared" si="297"/>
        <v>0</v>
      </c>
      <c r="P1452" s="287">
        <f t="shared" si="298"/>
        <v>0</v>
      </c>
      <c r="Q1452" s="288"/>
      <c r="R1452" s="243"/>
      <c r="S1452" s="385" t="str">
        <f t="shared" si="295"/>
        <v/>
      </c>
    </row>
    <row r="1453" spans="2:19" ht="26.25" hidden="1" thickBot="1">
      <c r="B1453" s="609">
        <v>97589</v>
      </c>
      <c r="C1453" s="610" t="s">
        <v>843</v>
      </c>
      <c r="D1453" s="611" t="s">
        <v>1585</v>
      </c>
      <c r="E1453" s="602"/>
      <c r="F1453" s="603"/>
      <c r="G1453" s="604"/>
      <c r="H1453" s="605"/>
      <c r="I1453" s="675">
        <v>35.93</v>
      </c>
      <c r="J1453" s="675">
        <f t="shared" si="299"/>
        <v>35.93</v>
      </c>
      <c r="K1453" s="606">
        <f t="shared" si="296"/>
        <v>43.6</v>
      </c>
      <c r="L1453" s="389" t="s">
        <v>21</v>
      </c>
      <c r="M1453" s="30"/>
      <c r="N1453" s="30"/>
      <c r="O1453" s="287">
        <f t="shared" si="297"/>
        <v>0</v>
      </c>
      <c r="P1453" s="287">
        <f t="shared" si="298"/>
        <v>0</v>
      </c>
      <c r="Q1453" s="288"/>
      <c r="R1453" s="243"/>
      <c r="S1453" s="385" t="str">
        <f t="shared" si="295"/>
        <v/>
      </c>
    </row>
    <row r="1454" spans="2:19" ht="26.25" hidden="1" thickBot="1">
      <c r="B1454" s="609">
        <v>97590</v>
      </c>
      <c r="C1454" s="610" t="s">
        <v>843</v>
      </c>
      <c r="D1454" s="611" t="s">
        <v>1586</v>
      </c>
      <c r="E1454" s="602"/>
      <c r="F1454" s="603"/>
      <c r="G1454" s="604"/>
      <c r="H1454" s="605"/>
      <c r="I1454" s="675">
        <v>64.58</v>
      </c>
      <c r="J1454" s="675">
        <f t="shared" si="299"/>
        <v>64.58</v>
      </c>
      <c r="K1454" s="606">
        <f t="shared" si="296"/>
        <v>78.37</v>
      </c>
      <c r="L1454" s="389" t="s">
        <v>21</v>
      </c>
      <c r="M1454" s="30"/>
      <c r="N1454" s="30"/>
      <c r="O1454" s="287">
        <f t="shared" si="297"/>
        <v>0</v>
      </c>
      <c r="P1454" s="287">
        <f t="shared" si="298"/>
        <v>0</v>
      </c>
      <c r="Q1454" s="288"/>
      <c r="R1454" s="243"/>
      <c r="S1454" s="385" t="str">
        <f t="shared" si="295"/>
        <v/>
      </c>
    </row>
    <row r="1455" spans="2:19" ht="26.25" hidden="1" thickBot="1">
      <c r="B1455" s="609">
        <v>97591</v>
      </c>
      <c r="C1455" s="610" t="s">
        <v>843</v>
      </c>
      <c r="D1455" s="611" t="s">
        <v>1587</v>
      </c>
      <c r="E1455" s="602"/>
      <c r="F1455" s="603"/>
      <c r="G1455" s="604"/>
      <c r="H1455" s="605"/>
      <c r="I1455" s="675">
        <v>89.46</v>
      </c>
      <c r="J1455" s="675">
        <f t="shared" si="299"/>
        <v>89.46</v>
      </c>
      <c r="K1455" s="606">
        <f t="shared" si="296"/>
        <v>108.56</v>
      </c>
      <c r="L1455" s="389" t="s">
        <v>21</v>
      </c>
      <c r="M1455" s="30"/>
      <c r="N1455" s="30"/>
      <c r="O1455" s="287">
        <f t="shared" si="297"/>
        <v>0</v>
      </c>
      <c r="P1455" s="287">
        <f t="shared" si="298"/>
        <v>0</v>
      </c>
      <c r="Q1455" s="288"/>
      <c r="R1455" s="243"/>
      <c r="S1455" s="385" t="str">
        <f t="shared" si="295"/>
        <v/>
      </c>
    </row>
    <row r="1456" spans="2:19" ht="26.25" hidden="1" thickBot="1">
      <c r="B1456" s="609">
        <v>97592</v>
      </c>
      <c r="C1456" s="610" t="s">
        <v>843</v>
      </c>
      <c r="D1456" s="611" t="s">
        <v>1588</v>
      </c>
      <c r="E1456" s="602"/>
      <c r="F1456" s="603"/>
      <c r="G1456" s="604"/>
      <c r="H1456" s="605"/>
      <c r="I1456" s="675">
        <v>40.58</v>
      </c>
      <c r="J1456" s="675">
        <f t="shared" si="299"/>
        <v>40.58</v>
      </c>
      <c r="K1456" s="606">
        <f t="shared" si="296"/>
        <v>49.24</v>
      </c>
      <c r="L1456" s="389" t="s">
        <v>21</v>
      </c>
      <c r="M1456" s="30"/>
      <c r="N1456" s="30"/>
      <c r="O1456" s="287">
        <f t="shared" si="297"/>
        <v>0</v>
      </c>
      <c r="P1456" s="287">
        <f t="shared" si="298"/>
        <v>0</v>
      </c>
      <c r="Q1456" s="288"/>
      <c r="R1456" s="243"/>
      <c r="S1456" s="385" t="str">
        <f t="shared" si="295"/>
        <v/>
      </c>
    </row>
    <row r="1457" spans="2:19" ht="26.25" hidden="1" thickBot="1">
      <c r="B1457" s="609">
        <v>97593</v>
      </c>
      <c r="C1457" s="610" t="s">
        <v>843</v>
      </c>
      <c r="D1457" s="611" t="s">
        <v>1589</v>
      </c>
      <c r="E1457" s="602"/>
      <c r="F1457" s="603"/>
      <c r="G1457" s="604"/>
      <c r="H1457" s="605"/>
      <c r="I1457" s="675">
        <v>85.28</v>
      </c>
      <c r="J1457" s="675">
        <f t="shared" si="299"/>
        <v>85.28</v>
      </c>
      <c r="K1457" s="606">
        <f t="shared" si="296"/>
        <v>103.49</v>
      </c>
      <c r="L1457" s="389" t="s">
        <v>21</v>
      </c>
      <c r="M1457" s="30"/>
      <c r="N1457" s="30"/>
      <c r="O1457" s="287">
        <f t="shared" si="297"/>
        <v>0</v>
      </c>
      <c r="P1457" s="287">
        <f t="shared" si="298"/>
        <v>0</v>
      </c>
      <c r="Q1457" s="288"/>
      <c r="R1457" s="243"/>
      <c r="S1457" s="385" t="str">
        <f t="shared" si="295"/>
        <v/>
      </c>
    </row>
    <row r="1458" spans="2:19" ht="26.25" hidden="1" thickBot="1">
      <c r="B1458" s="609">
        <v>97594</v>
      </c>
      <c r="C1458" s="610" t="s">
        <v>843</v>
      </c>
      <c r="D1458" s="611" t="s">
        <v>1590</v>
      </c>
      <c r="E1458" s="602"/>
      <c r="F1458" s="603"/>
      <c r="G1458" s="604"/>
      <c r="H1458" s="605"/>
      <c r="I1458" s="675">
        <v>88.18</v>
      </c>
      <c r="J1458" s="675">
        <f t="shared" si="299"/>
        <v>88.18</v>
      </c>
      <c r="K1458" s="606">
        <f t="shared" si="296"/>
        <v>107.01</v>
      </c>
      <c r="L1458" s="389" t="s">
        <v>21</v>
      </c>
      <c r="M1458" s="30"/>
      <c r="N1458" s="30"/>
      <c r="O1458" s="287">
        <f t="shared" si="297"/>
        <v>0</v>
      </c>
      <c r="P1458" s="287">
        <f t="shared" si="298"/>
        <v>0</v>
      </c>
      <c r="Q1458" s="288"/>
      <c r="R1458" s="243"/>
      <c r="S1458" s="385" t="str">
        <f t="shared" si="295"/>
        <v/>
      </c>
    </row>
    <row r="1459" spans="2:19" ht="26.25" hidden="1" thickBot="1">
      <c r="B1459" s="609">
        <v>101666</v>
      </c>
      <c r="C1459" s="610" t="s">
        <v>843</v>
      </c>
      <c r="D1459" s="611" t="s">
        <v>1591</v>
      </c>
      <c r="E1459" s="602"/>
      <c r="F1459" s="603"/>
      <c r="G1459" s="604"/>
      <c r="H1459" s="605"/>
      <c r="I1459" s="675">
        <v>256.43</v>
      </c>
      <c r="J1459" s="675">
        <f t="shared" si="299"/>
        <v>256.43</v>
      </c>
      <c r="K1459" s="606">
        <f t="shared" si="296"/>
        <v>311.18</v>
      </c>
      <c r="L1459" s="389" t="s">
        <v>21</v>
      </c>
      <c r="M1459" s="30"/>
      <c r="N1459" s="30"/>
      <c r="O1459" s="287">
        <f t="shared" si="297"/>
        <v>0</v>
      </c>
      <c r="P1459" s="287">
        <f t="shared" si="298"/>
        <v>0</v>
      </c>
      <c r="Q1459" s="288"/>
      <c r="R1459" s="243"/>
      <c r="S1459" s="385" t="str">
        <f t="shared" si="295"/>
        <v/>
      </c>
    </row>
    <row r="1460" spans="2:19" ht="26.25" hidden="1" thickBot="1">
      <c r="B1460" s="609">
        <v>97600</v>
      </c>
      <c r="C1460" s="610" t="s">
        <v>843</v>
      </c>
      <c r="D1460" s="611" t="s">
        <v>1592</v>
      </c>
      <c r="E1460" s="602"/>
      <c r="F1460" s="603"/>
      <c r="G1460" s="604"/>
      <c r="H1460" s="605"/>
      <c r="I1460" s="675">
        <v>225.74</v>
      </c>
      <c r="J1460" s="675">
        <f t="shared" si="299"/>
        <v>225.74</v>
      </c>
      <c r="K1460" s="606">
        <f t="shared" si="296"/>
        <v>273.94</v>
      </c>
      <c r="L1460" s="389" t="s">
        <v>21</v>
      </c>
      <c r="M1460" s="30"/>
      <c r="N1460" s="30"/>
      <c r="O1460" s="287">
        <f t="shared" si="297"/>
        <v>0</v>
      </c>
      <c r="P1460" s="287">
        <f t="shared" si="298"/>
        <v>0</v>
      </c>
      <c r="Q1460" s="288"/>
      <c r="R1460" s="243"/>
      <c r="S1460" s="385" t="str">
        <f t="shared" si="295"/>
        <v/>
      </c>
    </row>
    <row r="1461" spans="2:19" ht="26.25" hidden="1" thickBot="1">
      <c r="B1461" s="609">
        <v>97601</v>
      </c>
      <c r="C1461" s="610" t="s">
        <v>843</v>
      </c>
      <c r="D1461" s="611" t="s">
        <v>1593</v>
      </c>
      <c r="E1461" s="602"/>
      <c r="F1461" s="603"/>
      <c r="G1461" s="604"/>
      <c r="H1461" s="605"/>
      <c r="I1461" s="675">
        <v>244.08</v>
      </c>
      <c r="J1461" s="675">
        <f t="shared" si="299"/>
        <v>244.08</v>
      </c>
      <c r="K1461" s="606">
        <f t="shared" si="296"/>
        <v>296.19</v>
      </c>
      <c r="L1461" s="389" t="s">
        <v>21</v>
      </c>
      <c r="M1461" s="30"/>
      <c r="N1461" s="30"/>
      <c r="O1461" s="287">
        <f t="shared" si="297"/>
        <v>0</v>
      </c>
      <c r="P1461" s="287">
        <f t="shared" si="298"/>
        <v>0</v>
      </c>
      <c r="Q1461" s="288"/>
      <c r="R1461" s="243"/>
      <c r="S1461" s="385" t="str">
        <f t="shared" si="295"/>
        <v/>
      </c>
    </row>
    <row r="1462" spans="2:19" ht="13.5" hidden="1" thickBot="1">
      <c r="B1462" s="609">
        <v>97611</v>
      </c>
      <c r="C1462" s="610" t="s">
        <v>843</v>
      </c>
      <c r="D1462" s="611" t="s">
        <v>1594</v>
      </c>
      <c r="E1462" s="602"/>
      <c r="F1462" s="603"/>
      <c r="G1462" s="604"/>
      <c r="H1462" s="605"/>
      <c r="I1462" s="675">
        <v>23.27</v>
      </c>
      <c r="J1462" s="675">
        <f t="shared" si="299"/>
        <v>23.27</v>
      </c>
      <c r="K1462" s="606">
        <f t="shared" si="296"/>
        <v>28.24</v>
      </c>
      <c r="L1462" s="389" t="s">
        <v>21</v>
      </c>
      <c r="M1462" s="30"/>
      <c r="N1462" s="30"/>
      <c r="O1462" s="287">
        <f t="shared" si="297"/>
        <v>0</v>
      </c>
      <c r="P1462" s="287">
        <f t="shared" si="298"/>
        <v>0</v>
      </c>
      <c r="Q1462" s="288"/>
      <c r="R1462" s="243"/>
      <c r="S1462" s="385" t="str">
        <f t="shared" si="295"/>
        <v/>
      </c>
    </row>
    <row r="1463" spans="2:19" ht="13.5" hidden="1" thickBot="1">
      <c r="B1463" s="609">
        <v>97612</v>
      </c>
      <c r="C1463" s="610" t="s">
        <v>843</v>
      </c>
      <c r="D1463" s="611" t="s">
        <v>1595</v>
      </c>
      <c r="E1463" s="602"/>
      <c r="F1463" s="603"/>
      <c r="G1463" s="604"/>
      <c r="H1463" s="605"/>
      <c r="I1463" s="675">
        <v>25.33</v>
      </c>
      <c r="J1463" s="675">
        <f t="shared" si="299"/>
        <v>25.33</v>
      </c>
      <c r="K1463" s="606">
        <f t="shared" si="296"/>
        <v>30.74</v>
      </c>
      <c r="L1463" s="389" t="s">
        <v>21</v>
      </c>
      <c r="M1463" s="30"/>
      <c r="N1463" s="30"/>
      <c r="O1463" s="287">
        <f t="shared" si="297"/>
        <v>0</v>
      </c>
      <c r="P1463" s="287">
        <f t="shared" si="298"/>
        <v>0</v>
      </c>
      <c r="Q1463" s="288"/>
      <c r="R1463" s="243"/>
      <c r="S1463" s="385" t="str">
        <f t="shared" si="295"/>
        <v/>
      </c>
    </row>
    <row r="1464" spans="2:19" ht="26.25" hidden="1" thickBot="1">
      <c r="B1464" s="609">
        <v>97615</v>
      </c>
      <c r="C1464" s="610" t="s">
        <v>843</v>
      </c>
      <c r="D1464" s="611" t="s">
        <v>1596</v>
      </c>
      <c r="E1464" s="602"/>
      <c r="F1464" s="603"/>
      <c r="G1464" s="604"/>
      <c r="H1464" s="605"/>
      <c r="I1464" s="675">
        <v>38.17</v>
      </c>
      <c r="J1464" s="675">
        <f t="shared" si="299"/>
        <v>38.17</v>
      </c>
      <c r="K1464" s="606">
        <f t="shared" si="296"/>
        <v>46.32</v>
      </c>
      <c r="L1464" s="389" t="s">
        <v>21</v>
      </c>
      <c r="M1464" s="30"/>
      <c r="N1464" s="30"/>
      <c r="O1464" s="287">
        <f t="shared" si="297"/>
        <v>0</v>
      </c>
      <c r="P1464" s="287">
        <f t="shared" si="298"/>
        <v>0</v>
      </c>
      <c r="Q1464" s="288"/>
      <c r="R1464" s="243"/>
      <c r="S1464" s="385" t="str">
        <f t="shared" si="295"/>
        <v/>
      </c>
    </row>
    <row r="1465" spans="2:19" ht="26.25" hidden="1" thickBot="1">
      <c r="B1465" s="609">
        <v>97616</v>
      </c>
      <c r="C1465" s="610" t="s">
        <v>843</v>
      </c>
      <c r="D1465" s="611" t="s">
        <v>1597</v>
      </c>
      <c r="E1465" s="602"/>
      <c r="F1465" s="603"/>
      <c r="G1465" s="604"/>
      <c r="H1465" s="605"/>
      <c r="I1465" s="675">
        <v>42.39</v>
      </c>
      <c r="J1465" s="675">
        <f t="shared" si="299"/>
        <v>42.39</v>
      </c>
      <c r="K1465" s="606">
        <f t="shared" si="296"/>
        <v>51.44</v>
      </c>
      <c r="L1465" s="389" t="s">
        <v>21</v>
      </c>
      <c r="M1465" s="30"/>
      <c r="N1465" s="30"/>
      <c r="O1465" s="287">
        <f t="shared" si="297"/>
        <v>0</v>
      </c>
      <c r="P1465" s="287">
        <f t="shared" si="298"/>
        <v>0</v>
      </c>
      <c r="Q1465" s="288"/>
      <c r="R1465" s="243"/>
      <c r="S1465" s="385" t="str">
        <f t="shared" si="295"/>
        <v/>
      </c>
    </row>
    <row r="1466" spans="2:19" ht="26.25" hidden="1" thickBot="1">
      <c r="B1466" s="609">
        <v>97617</v>
      </c>
      <c r="C1466" s="610" t="s">
        <v>843</v>
      </c>
      <c r="D1466" s="611" t="s">
        <v>1598</v>
      </c>
      <c r="E1466" s="602"/>
      <c r="F1466" s="603"/>
      <c r="G1466" s="604"/>
      <c r="H1466" s="605"/>
      <c r="I1466" s="675">
        <v>42.08</v>
      </c>
      <c r="J1466" s="675">
        <f t="shared" si="299"/>
        <v>42.08</v>
      </c>
      <c r="K1466" s="606">
        <f t="shared" si="296"/>
        <v>51.06</v>
      </c>
      <c r="L1466" s="389" t="s">
        <v>21</v>
      </c>
      <c r="M1466" s="30"/>
      <c r="N1466" s="30"/>
      <c r="O1466" s="287">
        <f t="shared" si="297"/>
        <v>0</v>
      </c>
      <c r="P1466" s="287">
        <f t="shared" si="298"/>
        <v>0</v>
      </c>
      <c r="Q1466" s="288"/>
      <c r="R1466" s="243"/>
      <c r="S1466" s="385" t="str">
        <f t="shared" si="295"/>
        <v/>
      </c>
    </row>
    <row r="1467" spans="2:19" ht="13.5" hidden="1" thickBot="1">
      <c r="B1467" s="609">
        <v>97618</v>
      </c>
      <c r="C1467" s="610" t="s">
        <v>843</v>
      </c>
      <c r="D1467" s="611" t="s">
        <v>1599</v>
      </c>
      <c r="E1467" s="602"/>
      <c r="F1467" s="603"/>
      <c r="G1467" s="604"/>
      <c r="H1467" s="605"/>
      <c r="I1467" s="675">
        <v>41.06</v>
      </c>
      <c r="J1467" s="675">
        <f t="shared" si="299"/>
        <v>41.06</v>
      </c>
      <c r="K1467" s="606">
        <f t="shared" si="296"/>
        <v>49.83</v>
      </c>
      <c r="L1467" s="389" t="s">
        <v>21</v>
      </c>
      <c r="M1467" s="30"/>
      <c r="N1467" s="30"/>
      <c r="O1467" s="287">
        <f t="shared" si="297"/>
        <v>0</v>
      </c>
      <c r="P1467" s="287">
        <f t="shared" si="298"/>
        <v>0</v>
      </c>
      <c r="Q1467" s="288"/>
      <c r="R1467" s="243"/>
      <c r="S1467" s="385" t="str">
        <f t="shared" si="295"/>
        <v/>
      </c>
    </row>
    <row r="1468" spans="2:19" ht="13.5" hidden="1" thickBot="1">
      <c r="B1468" s="609">
        <v>97613</v>
      </c>
      <c r="C1468" s="610" t="s">
        <v>843</v>
      </c>
      <c r="D1468" s="611" t="s">
        <v>1600</v>
      </c>
      <c r="E1468" s="602"/>
      <c r="F1468" s="603"/>
      <c r="G1468" s="604"/>
      <c r="H1468" s="605"/>
      <c r="I1468" s="675">
        <v>32.15</v>
      </c>
      <c r="J1468" s="675">
        <f t="shared" si="299"/>
        <v>32.15</v>
      </c>
      <c r="K1468" s="606">
        <f t="shared" si="296"/>
        <v>39.01</v>
      </c>
      <c r="L1468" s="389" t="s">
        <v>21</v>
      </c>
      <c r="M1468" s="30"/>
      <c r="N1468" s="30"/>
      <c r="O1468" s="287">
        <f t="shared" si="297"/>
        <v>0</v>
      </c>
      <c r="P1468" s="287">
        <f t="shared" si="298"/>
        <v>0</v>
      </c>
      <c r="Q1468" s="288"/>
      <c r="R1468" s="243"/>
      <c r="S1468" s="385" t="str">
        <f t="shared" ref="S1468:S1531" si="300">IF(R1468="x","x",IF(R1468="y","x",IF(R1468="xy","x",IF(P1468&gt;0,"x",""))))</f>
        <v/>
      </c>
    </row>
    <row r="1469" spans="2:19" ht="26.25" hidden="1" thickBot="1">
      <c r="B1469" s="609">
        <v>97614</v>
      </c>
      <c r="C1469" s="610" t="s">
        <v>843</v>
      </c>
      <c r="D1469" s="611" t="s">
        <v>1601</v>
      </c>
      <c r="E1469" s="602"/>
      <c r="F1469" s="603"/>
      <c r="G1469" s="604"/>
      <c r="H1469" s="605"/>
      <c r="I1469" s="675">
        <v>56.78</v>
      </c>
      <c r="J1469" s="675">
        <f t="shared" si="299"/>
        <v>56.78</v>
      </c>
      <c r="K1469" s="606">
        <f t="shared" si="296"/>
        <v>68.900000000000006</v>
      </c>
      <c r="L1469" s="389" t="s">
        <v>21</v>
      </c>
      <c r="M1469" s="30"/>
      <c r="N1469" s="30"/>
      <c r="O1469" s="287">
        <f t="shared" si="297"/>
        <v>0</v>
      </c>
      <c r="P1469" s="287">
        <f t="shared" si="298"/>
        <v>0</v>
      </c>
      <c r="Q1469" s="288"/>
      <c r="R1469" s="243"/>
      <c r="S1469" s="385" t="str">
        <f t="shared" si="300"/>
        <v/>
      </c>
    </row>
    <row r="1470" spans="2:19" ht="13.5" hidden="1" thickBot="1">
      <c r="B1470" s="609">
        <v>101648</v>
      </c>
      <c r="C1470" s="610" t="s">
        <v>843</v>
      </c>
      <c r="D1470" s="611" t="s">
        <v>1602</v>
      </c>
      <c r="E1470" s="602"/>
      <c r="F1470" s="603"/>
      <c r="G1470" s="604"/>
      <c r="H1470" s="605"/>
      <c r="I1470" s="675">
        <v>52</v>
      </c>
      <c r="J1470" s="675">
        <f t="shared" si="299"/>
        <v>52</v>
      </c>
      <c r="K1470" s="606">
        <f t="shared" si="296"/>
        <v>63.1</v>
      </c>
      <c r="L1470" s="389" t="s">
        <v>21</v>
      </c>
      <c r="M1470" s="30"/>
      <c r="N1470" s="30"/>
      <c r="O1470" s="287">
        <f t="shared" si="297"/>
        <v>0</v>
      </c>
      <c r="P1470" s="287">
        <f t="shared" si="298"/>
        <v>0</v>
      </c>
      <c r="Q1470" s="288"/>
      <c r="R1470" s="243"/>
      <c r="S1470" s="385" t="str">
        <f t="shared" si="300"/>
        <v/>
      </c>
    </row>
    <row r="1471" spans="2:19" ht="13.5" hidden="1" thickBot="1">
      <c r="B1471" s="609">
        <v>101649</v>
      </c>
      <c r="C1471" s="610" t="s">
        <v>843</v>
      </c>
      <c r="D1471" s="611" t="s">
        <v>1603</v>
      </c>
      <c r="E1471" s="602"/>
      <c r="F1471" s="603"/>
      <c r="G1471" s="604"/>
      <c r="H1471" s="605"/>
      <c r="I1471" s="675">
        <v>59.93</v>
      </c>
      <c r="J1471" s="675">
        <f t="shared" si="299"/>
        <v>59.93</v>
      </c>
      <c r="K1471" s="606">
        <f t="shared" si="296"/>
        <v>72.73</v>
      </c>
      <c r="L1471" s="389" t="s">
        <v>21</v>
      </c>
      <c r="M1471" s="30"/>
      <c r="N1471" s="30"/>
      <c r="O1471" s="287">
        <f t="shared" si="297"/>
        <v>0</v>
      </c>
      <c r="P1471" s="287">
        <f t="shared" si="298"/>
        <v>0</v>
      </c>
      <c r="Q1471" s="288"/>
      <c r="R1471" s="243"/>
      <c r="S1471" s="385" t="str">
        <f t="shared" si="300"/>
        <v/>
      </c>
    </row>
    <row r="1472" spans="2:19" ht="13.5" hidden="1" thickBot="1">
      <c r="B1472" s="609">
        <v>101650</v>
      </c>
      <c r="C1472" s="610" t="s">
        <v>843</v>
      </c>
      <c r="D1472" s="611" t="s">
        <v>1604</v>
      </c>
      <c r="E1472" s="602"/>
      <c r="F1472" s="603"/>
      <c r="G1472" s="604"/>
      <c r="H1472" s="605"/>
      <c r="I1472" s="675">
        <v>69.680000000000007</v>
      </c>
      <c r="J1472" s="675">
        <f t="shared" si="299"/>
        <v>69.680000000000007</v>
      </c>
      <c r="K1472" s="606">
        <f t="shared" si="296"/>
        <v>84.56</v>
      </c>
      <c r="L1472" s="389" t="s">
        <v>21</v>
      </c>
      <c r="M1472" s="30"/>
      <c r="N1472" s="30"/>
      <c r="O1472" s="287">
        <f t="shared" si="297"/>
        <v>0</v>
      </c>
      <c r="P1472" s="287">
        <f t="shared" si="298"/>
        <v>0</v>
      </c>
      <c r="Q1472" s="288"/>
      <c r="R1472" s="243"/>
      <c r="S1472" s="385" t="str">
        <f t="shared" si="300"/>
        <v/>
      </c>
    </row>
    <row r="1473" spans="2:19" ht="13.5" hidden="1" thickBot="1">
      <c r="B1473" s="609">
        <v>101640</v>
      </c>
      <c r="C1473" s="610" t="s">
        <v>843</v>
      </c>
      <c r="D1473" s="611" t="s">
        <v>1605</v>
      </c>
      <c r="E1473" s="602"/>
      <c r="F1473" s="603"/>
      <c r="G1473" s="604"/>
      <c r="H1473" s="605"/>
      <c r="I1473" s="675">
        <v>95.28</v>
      </c>
      <c r="J1473" s="675">
        <f t="shared" si="299"/>
        <v>95.28</v>
      </c>
      <c r="K1473" s="606">
        <f t="shared" si="296"/>
        <v>115.62</v>
      </c>
      <c r="L1473" s="389" t="s">
        <v>21</v>
      </c>
      <c r="M1473" s="30"/>
      <c r="N1473" s="30"/>
      <c r="O1473" s="287">
        <f t="shared" si="297"/>
        <v>0</v>
      </c>
      <c r="P1473" s="287">
        <f t="shared" si="298"/>
        <v>0</v>
      </c>
      <c r="Q1473" s="288"/>
      <c r="R1473" s="243"/>
      <c r="S1473" s="385" t="str">
        <f t="shared" si="300"/>
        <v/>
      </c>
    </row>
    <row r="1474" spans="2:19" ht="13.5" hidden="1" thickBot="1">
      <c r="B1474" s="609">
        <v>101641</v>
      </c>
      <c r="C1474" s="610" t="s">
        <v>843</v>
      </c>
      <c r="D1474" s="611" t="s">
        <v>1606</v>
      </c>
      <c r="E1474" s="602"/>
      <c r="F1474" s="603"/>
      <c r="G1474" s="604"/>
      <c r="H1474" s="605"/>
      <c r="I1474" s="675">
        <v>49.29</v>
      </c>
      <c r="J1474" s="675">
        <f t="shared" si="299"/>
        <v>49.29</v>
      </c>
      <c r="K1474" s="606">
        <f t="shared" si="296"/>
        <v>59.81</v>
      </c>
      <c r="L1474" s="389" t="s">
        <v>21</v>
      </c>
      <c r="M1474" s="30"/>
      <c r="N1474" s="30"/>
      <c r="O1474" s="287">
        <f t="shared" si="297"/>
        <v>0</v>
      </c>
      <c r="P1474" s="287">
        <f t="shared" si="298"/>
        <v>0</v>
      </c>
      <c r="Q1474" s="288"/>
      <c r="R1474" s="243"/>
      <c r="S1474" s="385" t="str">
        <f t="shared" si="300"/>
        <v/>
      </c>
    </row>
    <row r="1475" spans="2:19" ht="13.5" hidden="1" thickBot="1">
      <c r="B1475" s="609">
        <v>101642</v>
      </c>
      <c r="C1475" s="610" t="s">
        <v>843</v>
      </c>
      <c r="D1475" s="611" t="s">
        <v>1607</v>
      </c>
      <c r="E1475" s="602"/>
      <c r="F1475" s="603"/>
      <c r="G1475" s="604"/>
      <c r="H1475" s="605"/>
      <c r="I1475" s="675">
        <v>24.66</v>
      </c>
      <c r="J1475" s="675">
        <f t="shared" si="299"/>
        <v>24.66</v>
      </c>
      <c r="K1475" s="606">
        <f t="shared" si="296"/>
        <v>29.92</v>
      </c>
      <c r="L1475" s="389" t="s">
        <v>21</v>
      </c>
      <c r="M1475" s="30"/>
      <c r="N1475" s="30"/>
      <c r="O1475" s="287">
        <f t="shared" si="297"/>
        <v>0</v>
      </c>
      <c r="P1475" s="287">
        <f t="shared" si="298"/>
        <v>0</v>
      </c>
      <c r="Q1475" s="288"/>
      <c r="R1475" s="243"/>
      <c r="S1475" s="385" t="str">
        <f t="shared" si="300"/>
        <v/>
      </c>
    </row>
    <row r="1476" spans="2:19" ht="13.5" hidden="1" thickBot="1">
      <c r="B1476" s="609">
        <v>101643</v>
      </c>
      <c r="C1476" s="610" t="s">
        <v>843</v>
      </c>
      <c r="D1476" s="611" t="s">
        <v>1608</v>
      </c>
      <c r="E1476" s="602"/>
      <c r="F1476" s="603"/>
      <c r="G1476" s="604"/>
      <c r="H1476" s="605"/>
      <c r="I1476" s="675">
        <v>43</v>
      </c>
      <c r="J1476" s="675">
        <f t="shared" si="299"/>
        <v>43</v>
      </c>
      <c r="K1476" s="606">
        <f t="shared" si="296"/>
        <v>52.18</v>
      </c>
      <c r="L1476" s="389" t="s">
        <v>21</v>
      </c>
      <c r="M1476" s="30"/>
      <c r="N1476" s="30"/>
      <c r="O1476" s="287">
        <f t="shared" si="297"/>
        <v>0</v>
      </c>
      <c r="P1476" s="287">
        <f t="shared" si="298"/>
        <v>0</v>
      </c>
      <c r="Q1476" s="288"/>
      <c r="R1476" s="243"/>
      <c r="S1476" s="385" t="str">
        <f t="shared" si="300"/>
        <v/>
      </c>
    </row>
    <row r="1477" spans="2:19" ht="13.5" hidden="1" thickBot="1">
      <c r="B1477" s="609">
        <v>101644</v>
      </c>
      <c r="C1477" s="610" t="s">
        <v>843</v>
      </c>
      <c r="D1477" s="611" t="s">
        <v>1609</v>
      </c>
      <c r="E1477" s="602"/>
      <c r="F1477" s="603"/>
      <c r="G1477" s="604"/>
      <c r="H1477" s="605"/>
      <c r="I1477" s="675">
        <v>58.24</v>
      </c>
      <c r="J1477" s="675">
        <f t="shared" si="299"/>
        <v>58.24</v>
      </c>
      <c r="K1477" s="606">
        <f t="shared" si="296"/>
        <v>70.67</v>
      </c>
      <c r="L1477" s="389" t="s">
        <v>21</v>
      </c>
      <c r="M1477" s="30"/>
      <c r="N1477" s="30"/>
      <c r="O1477" s="287">
        <f t="shared" si="297"/>
        <v>0</v>
      </c>
      <c r="P1477" s="287">
        <f t="shared" si="298"/>
        <v>0</v>
      </c>
      <c r="Q1477" s="288"/>
      <c r="R1477" s="243"/>
      <c r="S1477" s="385" t="str">
        <f t="shared" si="300"/>
        <v/>
      </c>
    </row>
    <row r="1478" spans="2:19" ht="13.5" hidden="1" thickBot="1">
      <c r="B1478" s="609">
        <v>101645</v>
      </c>
      <c r="C1478" s="610" t="s">
        <v>843</v>
      </c>
      <c r="D1478" s="611" t="s">
        <v>1610</v>
      </c>
      <c r="E1478" s="602"/>
      <c r="F1478" s="603"/>
      <c r="G1478" s="604"/>
      <c r="H1478" s="605"/>
      <c r="I1478" s="675">
        <v>27.5</v>
      </c>
      <c r="J1478" s="675">
        <f t="shared" si="299"/>
        <v>27.5</v>
      </c>
      <c r="K1478" s="606">
        <f t="shared" si="296"/>
        <v>33.369999999999997</v>
      </c>
      <c r="L1478" s="389" t="s">
        <v>21</v>
      </c>
      <c r="M1478" s="30"/>
      <c r="N1478" s="30"/>
      <c r="O1478" s="287">
        <f t="shared" si="297"/>
        <v>0</v>
      </c>
      <c r="P1478" s="287">
        <f t="shared" si="298"/>
        <v>0</v>
      </c>
      <c r="Q1478" s="288"/>
      <c r="R1478" s="243"/>
      <c r="S1478" s="385" t="str">
        <f t="shared" si="300"/>
        <v/>
      </c>
    </row>
    <row r="1479" spans="2:19" ht="13.5" hidden="1" thickBot="1">
      <c r="B1479" s="609">
        <v>101646</v>
      </c>
      <c r="C1479" s="610" t="s">
        <v>843</v>
      </c>
      <c r="D1479" s="611" t="s">
        <v>1611</v>
      </c>
      <c r="E1479" s="602"/>
      <c r="F1479" s="603"/>
      <c r="G1479" s="604"/>
      <c r="H1479" s="605"/>
      <c r="I1479" s="675">
        <v>36.56</v>
      </c>
      <c r="J1479" s="675">
        <f t="shared" si="299"/>
        <v>36.56</v>
      </c>
      <c r="K1479" s="606">
        <f t="shared" si="296"/>
        <v>44.37</v>
      </c>
      <c r="L1479" s="389" t="s">
        <v>21</v>
      </c>
      <c r="M1479" s="30"/>
      <c r="N1479" s="30"/>
      <c r="O1479" s="287">
        <f t="shared" si="297"/>
        <v>0</v>
      </c>
      <c r="P1479" s="287">
        <f t="shared" si="298"/>
        <v>0</v>
      </c>
      <c r="Q1479" s="288"/>
      <c r="R1479" s="243"/>
      <c r="S1479" s="385" t="str">
        <f t="shared" si="300"/>
        <v/>
      </c>
    </row>
    <row r="1480" spans="2:19" ht="13.5" hidden="1" thickBot="1">
      <c r="B1480" s="609">
        <v>101647</v>
      </c>
      <c r="C1480" s="610" t="s">
        <v>843</v>
      </c>
      <c r="D1480" s="611" t="s">
        <v>1612</v>
      </c>
      <c r="E1480" s="602"/>
      <c r="F1480" s="603"/>
      <c r="G1480" s="604"/>
      <c r="H1480" s="605"/>
      <c r="I1480" s="675">
        <v>67.260000000000005</v>
      </c>
      <c r="J1480" s="675">
        <f t="shared" si="299"/>
        <v>67.260000000000005</v>
      </c>
      <c r="K1480" s="606">
        <f t="shared" si="296"/>
        <v>81.62</v>
      </c>
      <c r="L1480" s="389" t="s">
        <v>21</v>
      </c>
      <c r="M1480" s="30"/>
      <c r="N1480" s="30"/>
      <c r="O1480" s="287">
        <f t="shared" si="297"/>
        <v>0</v>
      </c>
      <c r="P1480" s="287">
        <f t="shared" si="298"/>
        <v>0</v>
      </c>
      <c r="Q1480" s="288"/>
      <c r="R1480" s="243"/>
      <c r="S1480" s="385" t="str">
        <f t="shared" si="300"/>
        <v/>
      </c>
    </row>
    <row r="1481" spans="2:19" ht="26.25" hidden="1" thickBot="1">
      <c r="B1481" s="609">
        <v>102085</v>
      </c>
      <c r="C1481" s="610" t="s">
        <v>843</v>
      </c>
      <c r="D1481" s="611" t="s">
        <v>1613</v>
      </c>
      <c r="E1481" s="602"/>
      <c r="F1481" s="603"/>
      <c r="G1481" s="604"/>
      <c r="H1481" s="605"/>
      <c r="I1481" s="675">
        <v>112.34</v>
      </c>
      <c r="J1481" s="675">
        <f t="shared" si="299"/>
        <v>112.34</v>
      </c>
      <c r="K1481" s="606">
        <f t="shared" si="296"/>
        <v>136.32</v>
      </c>
      <c r="L1481" s="389" t="s">
        <v>21</v>
      </c>
      <c r="M1481" s="30"/>
      <c r="N1481" s="30"/>
      <c r="O1481" s="287">
        <f t="shared" si="297"/>
        <v>0</v>
      </c>
      <c r="P1481" s="287">
        <f t="shared" si="298"/>
        <v>0</v>
      </c>
      <c r="Q1481" s="288"/>
      <c r="R1481" s="243"/>
      <c r="S1481" s="385" t="str">
        <f t="shared" si="300"/>
        <v/>
      </c>
    </row>
    <row r="1482" spans="2:19" ht="26.25" hidden="1" thickBot="1">
      <c r="B1482" s="609">
        <v>97605</v>
      </c>
      <c r="C1482" s="610" t="s">
        <v>843</v>
      </c>
      <c r="D1482" s="611" t="s">
        <v>1614</v>
      </c>
      <c r="E1482" s="602"/>
      <c r="F1482" s="603"/>
      <c r="G1482" s="604"/>
      <c r="H1482" s="605"/>
      <c r="I1482" s="675">
        <v>58.23</v>
      </c>
      <c r="J1482" s="675">
        <f t="shared" si="299"/>
        <v>58.23</v>
      </c>
      <c r="K1482" s="606">
        <f t="shared" si="296"/>
        <v>70.66</v>
      </c>
      <c r="L1482" s="389" t="s">
        <v>21</v>
      </c>
      <c r="M1482" s="30"/>
      <c r="N1482" s="30"/>
      <c r="O1482" s="287">
        <f t="shared" si="297"/>
        <v>0</v>
      </c>
      <c r="P1482" s="287">
        <f t="shared" si="298"/>
        <v>0</v>
      </c>
      <c r="Q1482" s="288"/>
      <c r="R1482" s="243"/>
      <c r="S1482" s="385" t="str">
        <f t="shared" si="300"/>
        <v/>
      </c>
    </row>
    <row r="1483" spans="2:19" ht="26.25" hidden="1" thickBot="1">
      <c r="B1483" s="609">
        <v>101654</v>
      </c>
      <c r="C1483" s="610" t="s">
        <v>843</v>
      </c>
      <c r="D1483" s="611" t="s">
        <v>1615</v>
      </c>
      <c r="E1483" s="602"/>
      <c r="F1483" s="603"/>
      <c r="G1483" s="604"/>
      <c r="H1483" s="605"/>
      <c r="I1483" s="675">
        <v>302.73</v>
      </c>
      <c r="J1483" s="675">
        <f t="shared" si="299"/>
        <v>302.73</v>
      </c>
      <c r="K1483" s="606">
        <f t="shared" si="296"/>
        <v>367.36</v>
      </c>
      <c r="L1483" s="389" t="s">
        <v>21</v>
      </c>
      <c r="M1483" s="30"/>
      <c r="N1483" s="30"/>
      <c r="O1483" s="287">
        <f t="shared" si="297"/>
        <v>0</v>
      </c>
      <c r="P1483" s="287">
        <f t="shared" si="298"/>
        <v>0</v>
      </c>
      <c r="Q1483" s="288"/>
      <c r="R1483" s="243"/>
      <c r="S1483" s="385" t="str">
        <f t="shared" si="300"/>
        <v/>
      </c>
    </row>
    <row r="1484" spans="2:19" ht="26.25" hidden="1" thickBot="1">
      <c r="B1484" s="609">
        <v>101655</v>
      </c>
      <c r="C1484" s="610" t="s">
        <v>843</v>
      </c>
      <c r="D1484" s="611" t="s">
        <v>1616</v>
      </c>
      <c r="E1484" s="602"/>
      <c r="F1484" s="603"/>
      <c r="G1484" s="604"/>
      <c r="H1484" s="605"/>
      <c r="I1484" s="675">
        <v>517.07000000000005</v>
      </c>
      <c r="J1484" s="675">
        <f t="shared" si="299"/>
        <v>517.07000000000005</v>
      </c>
      <c r="K1484" s="606">
        <f t="shared" si="296"/>
        <v>627.46</v>
      </c>
      <c r="L1484" s="389" t="s">
        <v>21</v>
      </c>
      <c r="M1484" s="30"/>
      <c r="N1484" s="30"/>
      <c r="O1484" s="287">
        <f t="shared" si="297"/>
        <v>0</v>
      </c>
      <c r="P1484" s="287">
        <f t="shared" si="298"/>
        <v>0</v>
      </c>
      <c r="Q1484" s="288"/>
      <c r="R1484" s="243"/>
      <c r="S1484" s="385" t="str">
        <f t="shared" si="300"/>
        <v/>
      </c>
    </row>
    <row r="1485" spans="2:19" ht="26.25" hidden="1" thickBot="1">
      <c r="B1485" s="609">
        <v>101656</v>
      </c>
      <c r="C1485" s="610" t="s">
        <v>843</v>
      </c>
      <c r="D1485" s="611" t="s">
        <v>1617</v>
      </c>
      <c r="E1485" s="602"/>
      <c r="F1485" s="603"/>
      <c r="G1485" s="604"/>
      <c r="H1485" s="605"/>
      <c r="I1485" s="675">
        <v>567.12</v>
      </c>
      <c r="J1485" s="675">
        <f t="shared" si="299"/>
        <v>567.12</v>
      </c>
      <c r="K1485" s="606">
        <f t="shared" si="296"/>
        <v>688.2</v>
      </c>
      <c r="L1485" s="389" t="s">
        <v>21</v>
      </c>
      <c r="M1485" s="30"/>
      <c r="N1485" s="30"/>
      <c r="O1485" s="287">
        <f t="shared" si="297"/>
        <v>0</v>
      </c>
      <c r="P1485" s="287">
        <f t="shared" si="298"/>
        <v>0</v>
      </c>
      <c r="Q1485" s="288"/>
      <c r="R1485" s="243"/>
      <c r="S1485" s="385" t="str">
        <f t="shared" si="300"/>
        <v/>
      </c>
    </row>
    <row r="1486" spans="2:19" ht="26.25" hidden="1" thickBot="1">
      <c r="B1486" s="609">
        <v>101657</v>
      </c>
      <c r="C1486" s="610" t="s">
        <v>843</v>
      </c>
      <c r="D1486" s="611" t="s">
        <v>1618</v>
      </c>
      <c r="E1486" s="602"/>
      <c r="F1486" s="603"/>
      <c r="G1486" s="604"/>
      <c r="H1486" s="605"/>
      <c r="I1486" s="675">
        <v>673.72</v>
      </c>
      <c r="J1486" s="675">
        <f t="shared" si="299"/>
        <v>673.72</v>
      </c>
      <c r="K1486" s="606">
        <f t="shared" si="296"/>
        <v>817.56</v>
      </c>
      <c r="L1486" s="389" t="s">
        <v>21</v>
      </c>
      <c r="M1486" s="30"/>
      <c r="N1486" s="30"/>
      <c r="O1486" s="287">
        <f t="shared" si="297"/>
        <v>0</v>
      </c>
      <c r="P1486" s="287">
        <f t="shared" si="298"/>
        <v>0</v>
      </c>
      <c r="Q1486" s="288"/>
      <c r="R1486" s="243"/>
      <c r="S1486" s="385" t="str">
        <f t="shared" si="300"/>
        <v/>
      </c>
    </row>
    <row r="1487" spans="2:19" ht="26.25" hidden="1" thickBot="1">
      <c r="B1487" s="609">
        <v>101658</v>
      </c>
      <c r="C1487" s="610" t="s">
        <v>843</v>
      </c>
      <c r="D1487" s="611" t="s">
        <v>1619</v>
      </c>
      <c r="E1487" s="602"/>
      <c r="F1487" s="603"/>
      <c r="G1487" s="604"/>
      <c r="H1487" s="605"/>
      <c r="I1487" s="675">
        <v>892.93</v>
      </c>
      <c r="J1487" s="675">
        <f t="shared" si="299"/>
        <v>892.93</v>
      </c>
      <c r="K1487" s="606">
        <f t="shared" si="296"/>
        <v>1083.57</v>
      </c>
      <c r="L1487" s="389" t="s">
        <v>21</v>
      </c>
      <c r="M1487" s="30"/>
      <c r="N1487" s="30"/>
      <c r="O1487" s="287">
        <f t="shared" si="297"/>
        <v>0</v>
      </c>
      <c r="P1487" s="287">
        <f t="shared" si="298"/>
        <v>0</v>
      </c>
      <c r="Q1487" s="288"/>
      <c r="R1487" s="243"/>
      <c r="S1487" s="385" t="str">
        <f t="shared" si="300"/>
        <v/>
      </c>
    </row>
    <row r="1488" spans="2:19" ht="26.25" hidden="1" thickBot="1">
      <c r="B1488" s="609">
        <v>101659</v>
      </c>
      <c r="C1488" s="610" t="s">
        <v>843</v>
      </c>
      <c r="D1488" s="611" t="s">
        <v>1620</v>
      </c>
      <c r="E1488" s="602"/>
      <c r="F1488" s="603"/>
      <c r="G1488" s="604"/>
      <c r="H1488" s="605"/>
      <c r="I1488" s="675">
        <v>1029.26</v>
      </c>
      <c r="J1488" s="675">
        <f t="shared" si="299"/>
        <v>1029.26</v>
      </c>
      <c r="K1488" s="606">
        <f t="shared" si="296"/>
        <v>1249.01</v>
      </c>
      <c r="L1488" s="389" t="s">
        <v>21</v>
      </c>
      <c r="M1488" s="30"/>
      <c r="N1488" s="30"/>
      <c r="O1488" s="287">
        <f t="shared" si="297"/>
        <v>0</v>
      </c>
      <c r="P1488" s="287">
        <f t="shared" si="298"/>
        <v>0</v>
      </c>
      <c r="Q1488" s="288"/>
      <c r="R1488" s="243"/>
      <c r="S1488" s="385" t="str">
        <f t="shared" si="300"/>
        <v/>
      </c>
    </row>
    <row r="1489" spans="2:19" ht="26.25" hidden="1" thickBot="1">
      <c r="B1489" s="609">
        <v>101660</v>
      </c>
      <c r="C1489" s="610" t="s">
        <v>843</v>
      </c>
      <c r="D1489" s="611" t="s">
        <v>1621</v>
      </c>
      <c r="E1489" s="602"/>
      <c r="F1489" s="603"/>
      <c r="G1489" s="604"/>
      <c r="H1489" s="605"/>
      <c r="I1489" s="675">
        <v>1672.84</v>
      </c>
      <c r="J1489" s="675">
        <f t="shared" si="299"/>
        <v>1672.84</v>
      </c>
      <c r="K1489" s="606">
        <f t="shared" ref="K1489:K1552" si="301">IF(ISBLANK(I1489),0,ROUND(J1489*(1+$F$10)*(1+$F$11*E1489),2))</f>
        <v>2029.99</v>
      </c>
      <c r="L1489" s="389" t="s">
        <v>21</v>
      </c>
      <c r="M1489" s="30"/>
      <c r="N1489" s="30"/>
      <c r="O1489" s="287">
        <f t="shared" ref="O1489:O1552" si="302">IF(ISBLANK(M1489),0,ROUND(K1489*M1489,2))</f>
        <v>0</v>
      </c>
      <c r="P1489" s="287">
        <f t="shared" ref="P1489:P1552" si="303">IF(ISBLANK(N1489),0,ROUND(M1489*N1489,2))</f>
        <v>0</v>
      </c>
      <c r="Q1489" s="288"/>
      <c r="R1489" s="243"/>
      <c r="S1489" s="385" t="str">
        <f t="shared" si="300"/>
        <v/>
      </c>
    </row>
    <row r="1490" spans="2:19" ht="26.25" hidden="1" thickBot="1">
      <c r="B1490" s="609">
        <v>97606</v>
      </c>
      <c r="C1490" s="610" t="s">
        <v>843</v>
      </c>
      <c r="D1490" s="611" t="s">
        <v>1622</v>
      </c>
      <c r="E1490" s="602"/>
      <c r="F1490" s="603"/>
      <c r="G1490" s="604"/>
      <c r="H1490" s="605"/>
      <c r="I1490" s="675">
        <v>64.239999999999995</v>
      </c>
      <c r="J1490" s="675">
        <f t="shared" si="299"/>
        <v>64.239999999999995</v>
      </c>
      <c r="K1490" s="606">
        <f t="shared" si="301"/>
        <v>77.959999999999994</v>
      </c>
      <c r="L1490" s="389" t="s">
        <v>21</v>
      </c>
      <c r="M1490" s="30"/>
      <c r="N1490" s="30"/>
      <c r="O1490" s="287">
        <f t="shared" si="302"/>
        <v>0</v>
      </c>
      <c r="P1490" s="287">
        <f t="shared" si="303"/>
        <v>0</v>
      </c>
      <c r="Q1490" s="288"/>
      <c r="R1490" s="243"/>
      <c r="S1490" s="385" t="str">
        <f t="shared" si="300"/>
        <v/>
      </c>
    </row>
    <row r="1491" spans="2:19" ht="26.25" hidden="1" thickBot="1">
      <c r="B1491" s="609">
        <v>97607</v>
      </c>
      <c r="C1491" s="610" t="s">
        <v>843</v>
      </c>
      <c r="D1491" s="611" t="s">
        <v>1623</v>
      </c>
      <c r="E1491" s="602"/>
      <c r="F1491" s="603"/>
      <c r="G1491" s="604"/>
      <c r="H1491" s="605"/>
      <c r="I1491" s="675">
        <v>68.91</v>
      </c>
      <c r="J1491" s="675">
        <f t="shared" si="299"/>
        <v>68.91</v>
      </c>
      <c r="K1491" s="606">
        <f t="shared" si="301"/>
        <v>83.62</v>
      </c>
      <c r="L1491" s="389" t="s">
        <v>21</v>
      </c>
      <c r="M1491" s="30"/>
      <c r="N1491" s="30"/>
      <c r="O1491" s="287">
        <f t="shared" si="302"/>
        <v>0</v>
      </c>
      <c r="P1491" s="287">
        <f t="shared" si="303"/>
        <v>0</v>
      </c>
      <c r="Q1491" s="288"/>
      <c r="R1491" s="243"/>
      <c r="S1491" s="385" t="str">
        <f t="shared" si="300"/>
        <v/>
      </c>
    </row>
    <row r="1492" spans="2:19" ht="26.25" hidden="1" thickBot="1">
      <c r="B1492" s="609">
        <v>97608</v>
      </c>
      <c r="C1492" s="610" t="s">
        <v>843</v>
      </c>
      <c r="D1492" s="611" t="s">
        <v>1624</v>
      </c>
      <c r="E1492" s="602"/>
      <c r="F1492" s="603"/>
      <c r="G1492" s="604"/>
      <c r="H1492" s="605"/>
      <c r="I1492" s="675">
        <v>74.92</v>
      </c>
      <c r="J1492" s="675">
        <f t="shared" si="299"/>
        <v>74.92</v>
      </c>
      <c r="K1492" s="606">
        <f t="shared" si="301"/>
        <v>90.92</v>
      </c>
      <c r="L1492" s="389" t="s">
        <v>21</v>
      </c>
      <c r="M1492" s="30"/>
      <c r="N1492" s="30"/>
      <c r="O1492" s="287">
        <f t="shared" si="302"/>
        <v>0</v>
      </c>
      <c r="P1492" s="287">
        <f t="shared" si="303"/>
        <v>0</v>
      </c>
      <c r="Q1492" s="288"/>
      <c r="R1492" s="243"/>
      <c r="S1492" s="385" t="str">
        <f t="shared" si="300"/>
        <v/>
      </c>
    </row>
    <row r="1493" spans="2:19" ht="13.5" hidden="1" thickBot="1">
      <c r="B1493" s="609">
        <v>100902</v>
      </c>
      <c r="C1493" s="610" t="s">
        <v>843</v>
      </c>
      <c r="D1493" s="611" t="s">
        <v>1625</v>
      </c>
      <c r="E1493" s="602"/>
      <c r="F1493" s="603"/>
      <c r="G1493" s="604"/>
      <c r="H1493" s="605"/>
      <c r="I1493" s="675">
        <v>27.78</v>
      </c>
      <c r="J1493" s="675">
        <f t="shared" si="299"/>
        <v>27.78</v>
      </c>
      <c r="K1493" s="606">
        <f t="shared" si="301"/>
        <v>33.71</v>
      </c>
      <c r="L1493" s="389" t="s">
        <v>21</v>
      </c>
      <c r="M1493" s="30"/>
      <c r="N1493" s="30"/>
      <c r="O1493" s="287">
        <f t="shared" si="302"/>
        <v>0</v>
      </c>
      <c r="P1493" s="287">
        <f t="shared" si="303"/>
        <v>0</v>
      </c>
      <c r="Q1493" s="288"/>
      <c r="R1493" s="243"/>
      <c r="S1493" s="385" t="str">
        <f t="shared" si="300"/>
        <v/>
      </c>
    </row>
    <row r="1494" spans="2:19" ht="13.5" hidden="1" thickBot="1">
      <c r="B1494" s="609">
        <v>100903</v>
      </c>
      <c r="C1494" s="610" t="s">
        <v>843</v>
      </c>
      <c r="D1494" s="611" t="s">
        <v>1626</v>
      </c>
      <c r="E1494" s="602"/>
      <c r="F1494" s="603"/>
      <c r="G1494" s="604"/>
      <c r="H1494" s="605"/>
      <c r="I1494" s="675">
        <v>33.49</v>
      </c>
      <c r="J1494" s="675">
        <f t="shared" si="299"/>
        <v>33.49</v>
      </c>
      <c r="K1494" s="606">
        <f t="shared" si="301"/>
        <v>40.64</v>
      </c>
      <c r="L1494" s="389" t="s">
        <v>21</v>
      </c>
      <c r="M1494" s="30"/>
      <c r="N1494" s="30"/>
      <c r="O1494" s="287">
        <f t="shared" si="302"/>
        <v>0</v>
      </c>
      <c r="P1494" s="287">
        <f t="shared" si="303"/>
        <v>0</v>
      </c>
      <c r="Q1494" s="288"/>
      <c r="R1494" s="243"/>
      <c r="S1494" s="385" t="str">
        <f t="shared" si="300"/>
        <v/>
      </c>
    </row>
    <row r="1495" spans="2:19" ht="26.25" hidden="1" thickBot="1">
      <c r="B1495" s="609">
        <v>100904</v>
      </c>
      <c r="C1495" s="610" t="s">
        <v>843</v>
      </c>
      <c r="D1495" s="611" t="s">
        <v>1627</v>
      </c>
      <c r="E1495" s="602"/>
      <c r="F1495" s="603"/>
      <c r="G1495" s="604"/>
      <c r="H1495" s="605"/>
      <c r="I1495" s="675">
        <v>48.35</v>
      </c>
      <c r="J1495" s="675">
        <f t="shared" si="299"/>
        <v>48.35</v>
      </c>
      <c r="K1495" s="606">
        <f t="shared" si="301"/>
        <v>58.67</v>
      </c>
      <c r="L1495" s="389" t="s">
        <v>21</v>
      </c>
      <c r="M1495" s="30"/>
      <c r="N1495" s="30"/>
      <c r="O1495" s="287">
        <f t="shared" si="302"/>
        <v>0</v>
      </c>
      <c r="P1495" s="287">
        <f t="shared" si="303"/>
        <v>0</v>
      </c>
      <c r="Q1495" s="288"/>
      <c r="R1495" s="243"/>
      <c r="S1495" s="385" t="str">
        <f t="shared" si="300"/>
        <v/>
      </c>
    </row>
    <row r="1496" spans="2:19" ht="26.25" hidden="1" thickBot="1">
      <c r="B1496" s="609">
        <v>100905</v>
      </c>
      <c r="C1496" s="610" t="s">
        <v>843</v>
      </c>
      <c r="D1496" s="611" t="s">
        <v>1628</v>
      </c>
      <c r="E1496" s="602"/>
      <c r="F1496" s="603"/>
      <c r="G1496" s="604"/>
      <c r="H1496" s="605"/>
      <c r="I1496" s="675">
        <v>127.92</v>
      </c>
      <c r="J1496" s="675">
        <f t="shared" si="299"/>
        <v>127.92</v>
      </c>
      <c r="K1496" s="606">
        <f t="shared" si="301"/>
        <v>155.22999999999999</v>
      </c>
      <c r="L1496" s="389" t="s">
        <v>21</v>
      </c>
      <c r="M1496" s="30"/>
      <c r="N1496" s="30"/>
      <c r="O1496" s="287">
        <f t="shared" si="302"/>
        <v>0</v>
      </c>
      <c r="P1496" s="287">
        <f t="shared" si="303"/>
        <v>0</v>
      </c>
      <c r="Q1496" s="288"/>
      <c r="R1496" s="243"/>
      <c r="S1496" s="385" t="str">
        <f t="shared" si="300"/>
        <v/>
      </c>
    </row>
    <row r="1497" spans="2:19" ht="26.25" hidden="1" thickBot="1">
      <c r="B1497" s="609">
        <v>100906</v>
      </c>
      <c r="C1497" s="610" t="s">
        <v>843</v>
      </c>
      <c r="D1497" s="611" t="s">
        <v>1629</v>
      </c>
      <c r="E1497" s="602"/>
      <c r="F1497" s="603"/>
      <c r="G1497" s="604"/>
      <c r="H1497" s="605"/>
      <c r="I1497" s="675">
        <v>169.4</v>
      </c>
      <c r="J1497" s="675">
        <f t="shared" si="299"/>
        <v>169.4</v>
      </c>
      <c r="K1497" s="606">
        <f t="shared" si="301"/>
        <v>205.57</v>
      </c>
      <c r="L1497" s="389" t="s">
        <v>21</v>
      </c>
      <c r="M1497" s="30"/>
      <c r="N1497" s="30"/>
      <c r="O1497" s="287">
        <f t="shared" si="302"/>
        <v>0</v>
      </c>
      <c r="P1497" s="287">
        <f t="shared" si="303"/>
        <v>0</v>
      </c>
      <c r="Q1497" s="288"/>
      <c r="R1497" s="243"/>
      <c r="S1497" s="385" t="str">
        <f t="shared" si="300"/>
        <v/>
      </c>
    </row>
    <row r="1498" spans="2:19" ht="13.5" hidden="1" thickBot="1">
      <c r="B1498" s="609">
        <v>100919</v>
      </c>
      <c r="C1498" s="610" t="s">
        <v>843</v>
      </c>
      <c r="D1498" s="611" t="s">
        <v>1630</v>
      </c>
      <c r="E1498" s="602"/>
      <c r="F1498" s="603"/>
      <c r="G1498" s="604"/>
      <c r="H1498" s="605"/>
      <c r="I1498" s="675">
        <v>64.819999999999993</v>
      </c>
      <c r="J1498" s="675">
        <f t="shared" si="299"/>
        <v>64.819999999999993</v>
      </c>
      <c r="K1498" s="606">
        <f t="shared" si="301"/>
        <v>78.66</v>
      </c>
      <c r="L1498" s="389" t="s">
        <v>21</v>
      </c>
      <c r="M1498" s="30"/>
      <c r="N1498" s="30"/>
      <c r="O1498" s="287">
        <f t="shared" si="302"/>
        <v>0</v>
      </c>
      <c r="P1498" s="287">
        <f t="shared" si="303"/>
        <v>0</v>
      </c>
      <c r="Q1498" s="288"/>
      <c r="R1498" s="243"/>
      <c r="S1498" s="385" t="str">
        <f t="shared" si="300"/>
        <v/>
      </c>
    </row>
    <row r="1499" spans="2:19" ht="13.5" hidden="1" thickBot="1">
      <c r="B1499" s="609">
        <v>100920</v>
      </c>
      <c r="C1499" s="610" t="s">
        <v>843</v>
      </c>
      <c r="D1499" s="611" t="s">
        <v>1631</v>
      </c>
      <c r="E1499" s="602"/>
      <c r="F1499" s="603"/>
      <c r="G1499" s="604"/>
      <c r="H1499" s="605"/>
      <c r="I1499" s="675">
        <v>110.24</v>
      </c>
      <c r="J1499" s="675">
        <f t="shared" si="299"/>
        <v>110.24</v>
      </c>
      <c r="K1499" s="606">
        <f t="shared" si="301"/>
        <v>133.78</v>
      </c>
      <c r="L1499" s="389" t="s">
        <v>21</v>
      </c>
      <c r="M1499" s="30"/>
      <c r="N1499" s="30"/>
      <c r="O1499" s="287">
        <f t="shared" si="302"/>
        <v>0</v>
      </c>
      <c r="P1499" s="287">
        <f t="shared" si="303"/>
        <v>0</v>
      </c>
      <c r="Q1499" s="288"/>
      <c r="R1499" s="243"/>
      <c r="S1499" s="385" t="str">
        <f t="shared" si="300"/>
        <v/>
      </c>
    </row>
    <row r="1500" spans="2:19" ht="13.5" hidden="1" thickBot="1">
      <c r="B1500" s="609">
        <v>97609</v>
      </c>
      <c r="C1500" s="610" t="s">
        <v>843</v>
      </c>
      <c r="D1500" s="611" t="s">
        <v>1632</v>
      </c>
      <c r="E1500" s="602"/>
      <c r="F1500" s="603"/>
      <c r="G1500" s="604"/>
      <c r="H1500" s="605"/>
      <c r="I1500" s="675">
        <v>17.260000000000002</v>
      </c>
      <c r="J1500" s="675">
        <f t="shared" ref="J1500:J1563" si="304">IF(ISBLANK(I1500),"",SUM(H1500:I1500))</f>
        <v>17.260000000000002</v>
      </c>
      <c r="K1500" s="606">
        <f t="shared" si="301"/>
        <v>20.95</v>
      </c>
      <c r="L1500" s="389" t="s">
        <v>21</v>
      </c>
      <c r="M1500" s="30"/>
      <c r="N1500" s="30"/>
      <c r="O1500" s="287">
        <f t="shared" si="302"/>
        <v>0</v>
      </c>
      <c r="P1500" s="287">
        <f t="shared" si="303"/>
        <v>0</v>
      </c>
      <c r="Q1500" s="288"/>
      <c r="R1500" s="243"/>
      <c r="S1500" s="385" t="str">
        <f t="shared" si="300"/>
        <v/>
      </c>
    </row>
    <row r="1501" spans="2:19" ht="13.5" hidden="1" thickBot="1">
      <c r="B1501" s="609">
        <v>97610</v>
      </c>
      <c r="C1501" s="610" t="s">
        <v>843</v>
      </c>
      <c r="D1501" s="611" t="s">
        <v>1633</v>
      </c>
      <c r="E1501" s="602"/>
      <c r="F1501" s="603"/>
      <c r="G1501" s="604"/>
      <c r="H1501" s="605"/>
      <c r="I1501" s="675">
        <v>18.55</v>
      </c>
      <c r="J1501" s="675">
        <f t="shared" si="304"/>
        <v>18.55</v>
      </c>
      <c r="K1501" s="606">
        <f t="shared" si="301"/>
        <v>22.51</v>
      </c>
      <c r="L1501" s="389" t="s">
        <v>21</v>
      </c>
      <c r="M1501" s="30"/>
      <c r="N1501" s="30"/>
      <c r="O1501" s="287">
        <f t="shared" si="302"/>
        <v>0</v>
      </c>
      <c r="P1501" s="287">
        <f t="shared" si="303"/>
        <v>0</v>
      </c>
      <c r="Q1501" s="288"/>
      <c r="R1501" s="243"/>
      <c r="S1501" s="385" t="str">
        <f t="shared" si="300"/>
        <v/>
      </c>
    </row>
    <row r="1502" spans="2:19" ht="26.25" hidden="1" thickBot="1">
      <c r="B1502" s="609">
        <v>101537</v>
      </c>
      <c r="C1502" s="610" t="s">
        <v>843</v>
      </c>
      <c r="D1502" s="611" t="s">
        <v>1634</v>
      </c>
      <c r="E1502" s="602"/>
      <c r="F1502" s="603"/>
      <c r="G1502" s="604"/>
      <c r="H1502" s="605"/>
      <c r="I1502" s="675">
        <v>145.53</v>
      </c>
      <c r="J1502" s="675">
        <f t="shared" si="304"/>
        <v>145.53</v>
      </c>
      <c r="K1502" s="606">
        <f t="shared" si="301"/>
        <v>176.6</v>
      </c>
      <c r="L1502" s="389" t="s">
        <v>21</v>
      </c>
      <c r="M1502" s="30"/>
      <c r="N1502" s="30"/>
      <c r="O1502" s="287">
        <f t="shared" si="302"/>
        <v>0</v>
      </c>
      <c r="P1502" s="287">
        <f t="shared" si="303"/>
        <v>0</v>
      </c>
      <c r="Q1502" s="288"/>
      <c r="R1502" s="243"/>
      <c r="S1502" s="385" t="str">
        <f t="shared" si="300"/>
        <v/>
      </c>
    </row>
    <row r="1503" spans="2:19" ht="13.5" hidden="1" thickBot="1">
      <c r="B1503" s="609">
        <v>97054</v>
      </c>
      <c r="C1503" s="610" t="s">
        <v>843</v>
      </c>
      <c r="D1503" s="611" t="s">
        <v>1635</v>
      </c>
      <c r="E1503" s="602"/>
      <c r="F1503" s="603"/>
      <c r="G1503" s="604"/>
      <c r="H1503" s="605"/>
      <c r="I1503" s="675">
        <v>24.65</v>
      </c>
      <c r="J1503" s="675">
        <f t="shared" si="304"/>
        <v>24.65</v>
      </c>
      <c r="K1503" s="606">
        <f t="shared" si="301"/>
        <v>29.91</v>
      </c>
      <c r="L1503" s="389" t="s">
        <v>21</v>
      </c>
      <c r="M1503" s="30"/>
      <c r="N1503" s="30"/>
      <c r="O1503" s="287">
        <f t="shared" si="302"/>
        <v>0</v>
      </c>
      <c r="P1503" s="287">
        <f t="shared" si="303"/>
        <v>0</v>
      </c>
      <c r="Q1503" s="288"/>
      <c r="R1503" s="243"/>
      <c r="S1503" s="385" t="str">
        <f t="shared" si="300"/>
        <v/>
      </c>
    </row>
    <row r="1504" spans="2:19" ht="13.5" hidden="1" thickBot="1">
      <c r="B1504" s="609">
        <v>101538</v>
      </c>
      <c r="C1504" s="610" t="s">
        <v>843</v>
      </c>
      <c r="D1504" s="611" t="s">
        <v>1636</v>
      </c>
      <c r="E1504" s="602"/>
      <c r="F1504" s="603"/>
      <c r="G1504" s="604"/>
      <c r="H1504" s="605"/>
      <c r="I1504" s="675">
        <v>30.12</v>
      </c>
      <c r="J1504" s="675">
        <f t="shared" si="304"/>
        <v>30.12</v>
      </c>
      <c r="K1504" s="606">
        <f t="shared" si="301"/>
        <v>36.549999999999997</v>
      </c>
      <c r="L1504" s="389" t="s">
        <v>21</v>
      </c>
      <c r="M1504" s="30"/>
      <c r="N1504" s="30"/>
      <c r="O1504" s="287">
        <f t="shared" si="302"/>
        <v>0</v>
      </c>
      <c r="P1504" s="287">
        <f t="shared" si="303"/>
        <v>0</v>
      </c>
      <c r="Q1504" s="288"/>
      <c r="R1504" s="243"/>
      <c r="S1504" s="385" t="str">
        <f t="shared" si="300"/>
        <v/>
      </c>
    </row>
    <row r="1505" spans="2:19" ht="13.5" hidden="1" thickBot="1">
      <c r="B1505" s="609">
        <v>101539</v>
      </c>
      <c r="C1505" s="610" t="s">
        <v>843</v>
      </c>
      <c r="D1505" s="611" t="s">
        <v>1637</v>
      </c>
      <c r="E1505" s="602"/>
      <c r="F1505" s="603"/>
      <c r="G1505" s="604"/>
      <c r="H1505" s="605"/>
      <c r="I1505" s="675">
        <v>51.37</v>
      </c>
      <c r="J1505" s="675">
        <f t="shared" si="304"/>
        <v>51.37</v>
      </c>
      <c r="K1505" s="606">
        <f t="shared" si="301"/>
        <v>62.34</v>
      </c>
      <c r="L1505" s="389" t="s">
        <v>21</v>
      </c>
      <c r="M1505" s="30"/>
      <c r="N1505" s="30"/>
      <c r="O1505" s="287">
        <f t="shared" si="302"/>
        <v>0</v>
      </c>
      <c r="P1505" s="287">
        <f t="shared" si="303"/>
        <v>0</v>
      </c>
      <c r="Q1505" s="288"/>
      <c r="R1505" s="243"/>
      <c r="S1505" s="385" t="str">
        <f t="shared" si="300"/>
        <v/>
      </c>
    </row>
    <row r="1506" spans="2:19" ht="13.5" hidden="1" thickBot="1">
      <c r="B1506" s="609">
        <v>101540</v>
      </c>
      <c r="C1506" s="610" t="s">
        <v>843</v>
      </c>
      <c r="D1506" s="611" t="s">
        <v>1638</v>
      </c>
      <c r="E1506" s="602"/>
      <c r="F1506" s="603"/>
      <c r="G1506" s="604"/>
      <c r="H1506" s="605"/>
      <c r="I1506" s="675">
        <v>84.94</v>
      </c>
      <c r="J1506" s="675">
        <f t="shared" si="304"/>
        <v>84.94</v>
      </c>
      <c r="K1506" s="606">
        <f t="shared" si="301"/>
        <v>103.07</v>
      </c>
      <c r="L1506" s="389" t="s">
        <v>21</v>
      </c>
      <c r="M1506" s="30"/>
      <c r="N1506" s="30"/>
      <c r="O1506" s="287">
        <f t="shared" si="302"/>
        <v>0</v>
      </c>
      <c r="P1506" s="287">
        <f t="shared" si="303"/>
        <v>0</v>
      </c>
      <c r="Q1506" s="288"/>
      <c r="R1506" s="243"/>
      <c r="S1506" s="385" t="str">
        <f t="shared" si="300"/>
        <v/>
      </c>
    </row>
    <row r="1507" spans="2:19" ht="13.5" hidden="1" thickBot="1">
      <c r="B1507" s="609">
        <v>101541</v>
      </c>
      <c r="C1507" s="610" t="s">
        <v>843</v>
      </c>
      <c r="D1507" s="611" t="s">
        <v>1639</v>
      </c>
      <c r="E1507" s="602"/>
      <c r="F1507" s="603"/>
      <c r="G1507" s="604"/>
      <c r="H1507" s="605"/>
      <c r="I1507" s="675">
        <v>111.19</v>
      </c>
      <c r="J1507" s="675">
        <f t="shared" si="304"/>
        <v>111.19</v>
      </c>
      <c r="K1507" s="606">
        <f t="shared" si="301"/>
        <v>134.93</v>
      </c>
      <c r="L1507" s="389" t="s">
        <v>21</v>
      </c>
      <c r="M1507" s="30"/>
      <c r="N1507" s="30"/>
      <c r="O1507" s="287">
        <f t="shared" si="302"/>
        <v>0</v>
      </c>
      <c r="P1507" s="287">
        <f t="shared" si="303"/>
        <v>0</v>
      </c>
      <c r="Q1507" s="288"/>
      <c r="R1507" s="243"/>
      <c r="S1507" s="385" t="str">
        <f t="shared" si="300"/>
        <v/>
      </c>
    </row>
    <row r="1508" spans="2:19" ht="13.5" hidden="1" thickBot="1">
      <c r="B1508" s="609">
        <v>101542</v>
      </c>
      <c r="C1508" s="610" t="s">
        <v>843</v>
      </c>
      <c r="D1508" s="611" t="s">
        <v>1640</v>
      </c>
      <c r="E1508" s="602"/>
      <c r="F1508" s="603"/>
      <c r="G1508" s="604"/>
      <c r="H1508" s="605"/>
      <c r="I1508" s="675">
        <v>23.21</v>
      </c>
      <c r="J1508" s="675">
        <f t="shared" si="304"/>
        <v>23.21</v>
      </c>
      <c r="K1508" s="606">
        <f t="shared" si="301"/>
        <v>28.17</v>
      </c>
      <c r="L1508" s="389" t="s">
        <v>21</v>
      </c>
      <c r="M1508" s="30"/>
      <c r="N1508" s="30"/>
      <c r="O1508" s="287">
        <f t="shared" si="302"/>
        <v>0</v>
      </c>
      <c r="P1508" s="287">
        <f t="shared" si="303"/>
        <v>0</v>
      </c>
      <c r="Q1508" s="288"/>
      <c r="R1508" s="243"/>
      <c r="S1508" s="385" t="str">
        <f t="shared" si="300"/>
        <v/>
      </c>
    </row>
    <row r="1509" spans="2:19" ht="13.5" hidden="1" thickBot="1">
      <c r="B1509" s="609">
        <v>101543</v>
      </c>
      <c r="C1509" s="610" t="s">
        <v>843</v>
      </c>
      <c r="D1509" s="611" t="s">
        <v>1641</v>
      </c>
      <c r="E1509" s="602"/>
      <c r="F1509" s="603"/>
      <c r="G1509" s="604"/>
      <c r="H1509" s="605"/>
      <c r="I1509" s="675">
        <v>42.14</v>
      </c>
      <c r="J1509" s="675">
        <f t="shared" si="304"/>
        <v>42.14</v>
      </c>
      <c r="K1509" s="606">
        <f t="shared" si="301"/>
        <v>51.14</v>
      </c>
      <c r="L1509" s="389" t="s">
        <v>21</v>
      </c>
      <c r="M1509" s="30"/>
      <c r="N1509" s="30"/>
      <c r="O1509" s="287">
        <f t="shared" si="302"/>
        <v>0</v>
      </c>
      <c r="P1509" s="287">
        <f t="shared" si="303"/>
        <v>0</v>
      </c>
      <c r="Q1509" s="288"/>
      <c r="R1509" s="243"/>
      <c r="S1509" s="385" t="str">
        <f t="shared" si="300"/>
        <v/>
      </c>
    </row>
    <row r="1510" spans="2:19" ht="13.5" hidden="1" thickBot="1">
      <c r="B1510" s="609">
        <v>101544</v>
      </c>
      <c r="C1510" s="610" t="s">
        <v>843</v>
      </c>
      <c r="D1510" s="611" t="s">
        <v>1642</v>
      </c>
      <c r="E1510" s="602"/>
      <c r="F1510" s="603"/>
      <c r="G1510" s="604"/>
      <c r="H1510" s="605"/>
      <c r="I1510" s="675">
        <v>66.64</v>
      </c>
      <c r="J1510" s="675">
        <f t="shared" si="304"/>
        <v>66.64</v>
      </c>
      <c r="K1510" s="606">
        <f t="shared" si="301"/>
        <v>80.87</v>
      </c>
      <c r="L1510" s="389" t="s">
        <v>21</v>
      </c>
      <c r="M1510" s="30"/>
      <c r="N1510" s="30"/>
      <c r="O1510" s="287">
        <f t="shared" si="302"/>
        <v>0</v>
      </c>
      <c r="P1510" s="287">
        <f t="shared" si="303"/>
        <v>0</v>
      </c>
      <c r="Q1510" s="288"/>
      <c r="R1510" s="243"/>
      <c r="S1510" s="385" t="str">
        <f t="shared" si="300"/>
        <v/>
      </c>
    </row>
    <row r="1511" spans="2:19" ht="13.5" hidden="1" thickBot="1">
      <c r="B1511" s="609">
        <v>101545</v>
      </c>
      <c r="C1511" s="610" t="s">
        <v>843</v>
      </c>
      <c r="D1511" s="611" t="s">
        <v>1643</v>
      </c>
      <c r="E1511" s="602"/>
      <c r="F1511" s="603"/>
      <c r="G1511" s="604"/>
      <c r="H1511" s="605"/>
      <c r="I1511" s="675">
        <v>95.33</v>
      </c>
      <c r="J1511" s="675">
        <f t="shared" si="304"/>
        <v>95.33</v>
      </c>
      <c r="K1511" s="606">
        <f t="shared" si="301"/>
        <v>115.68</v>
      </c>
      <c r="L1511" s="389" t="s">
        <v>21</v>
      </c>
      <c r="M1511" s="30"/>
      <c r="N1511" s="30"/>
      <c r="O1511" s="287">
        <f t="shared" si="302"/>
        <v>0</v>
      </c>
      <c r="P1511" s="287">
        <f t="shared" si="303"/>
        <v>0</v>
      </c>
      <c r="Q1511" s="288"/>
      <c r="R1511" s="243"/>
      <c r="S1511" s="385" t="str">
        <f t="shared" si="300"/>
        <v/>
      </c>
    </row>
    <row r="1512" spans="2:19" ht="13.5" hidden="1" thickBot="1">
      <c r="B1512" s="609">
        <v>101546</v>
      </c>
      <c r="C1512" s="610" t="s">
        <v>843</v>
      </c>
      <c r="D1512" s="611" t="s">
        <v>1644</v>
      </c>
      <c r="E1512" s="602"/>
      <c r="F1512" s="603"/>
      <c r="G1512" s="604"/>
      <c r="H1512" s="605"/>
      <c r="I1512" s="675">
        <v>24.3</v>
      </c>
      <c r="J1512" s="675">
        <f t="shared" si="304"/>
        <v>24.3</v>
      </c>
      <c r="K1512" s="606">
        <f t="shared" si="301"/>
        <v>29.49</v>
      </c>
      <c r="L1512" s="389" t="s">
        <v>21</v>
      </c>
      <c r="M1512" s="30"/>
      <c r="N1512" s="30"/>
      <c r="O1512" s="287">
        <f t="shared" si="302"/>
        <v>0</v>
      </c>
      <c r="P1512" s="287">
        <f t="shared" si="303"/>
        <v>0</v>
      </c>
      <c r="Q1512" s="288"/>
      <c r="R1512" s="243"/>
      <c r="S1512" s="385" t="str">
        <f t="shared" si="300"/>
        <v/>
      </c>
    </row>
    <row r="1513" spans="2:19" ht="13.5" hidden="1" thickBot="1">
      <c r="B1513" s="609">
        <v>101547</v>
      </c>
      <c r="C1513" s="610" t="s">
        <v>843</v>
      </c>
      <c r="D1513" s="611" t="s">
        <v>1645</v>
      </c>
      <c r="E1513" s="602"/>
      <c r="F1513" s="603"/>
      <c r="G1513" s="604"/>
      <c r="H1513" s="605"/>
      <c r="I1513" s="675">
        <v>75.53</v>
      </c>
      <c r="J1513" s="675">
        <f t="shared" si="304"/>
        <v>75.53</v>
      </c>
      <c r="K1513" s="606">
        <f t="shared" si="301"/>
        <v>91.66</v>
      </c>
      <c r="L1513" s="389" t="s">
        <v>21</v>
      </c>
      <c r="M1513" s="30"/>
      <c r="N1513" s="30"/>
      <c r="O1513" s="287">
        <f t="shared" si="302"/>
        <v>0</v>
      </c>
      <c r="P1513" s="287">
        <f t="shared" si="303"/>
        <v>0</v>
      </c>
      <c r="Q1513" s="288"/>
      <c r="R1513" s="243"/>
      <c r="S1513" s="385" t="str">
        <f t="shared" si="300"/>
        <v/>
      </c>
    </row>
    <row r="1514" spans="2:19" ht="13.5" hidden="1" thickBot="1">
      <c r="B1514" s="609">
        <v>101548</v>
      </c>
      <c r="C1514" s="610" t="s">
        <v>843</v>
      </c>
      <c r="D1514" s="611" t="s">
        <v>1646</v>
      </c>
      <c r="E1514" s="602"/>
      <c r="F1514" s="603"/>
      <c r="G1514" s="604"/>
      <c r="H1514" s="605"/>
      <c r="I1514" s="675">
        <v>6.23</v>
      </c>
      <c r="J1514" s="675">
        <f t="shared" si="304"/>
        <v>6.23</v>
      </c>
      <c r="K1514" s="606">
        <f t="shared" si="301"/>
        <v>7.56</v>
      </c>
      <c r="L1514" s="389" t="s">
        <v>21</v>
      </c>
      <c r="M1514" s="30"/>
      <c r="N1514" s="30"/>
      <c r="O1514" s="287">
        <f t="shared" si="302"/>
        <v>0</v>
      </c>
      <c r="P1514" s="287">
        <f t="shared" si="303"/>
        <v>0</v>
      </c>
      <c r="Q1514" s="288"/>
      <c r="R1514" s="243"/>
      <c r="S1514" s="385" t="str">
        <f t="shared" si="300"/>
        <v/>
      </c>
    </row>
    <row r="1515" spans="2:19" ht="26.25" hidden="1" thickBot="1">
      <c r="B1515" s="609">
        <v>101549</v>
      </c>
      <c r="C1515" s="610" t="s">
        <v>843</v>
      </c>
      <c r="D1515" s="611" t="s">
        <v>1647</v>
      </c>
      <c r="E1515" s="602"/>
      <c r="F1515" s="603"/>
      <c r="G1515" s="604"/>
      <c r="H1515" s="605"/>
      <c r="I1515" s="675">
        <v>12.27</v>
      </c>
      <c r="J1515" s="675">
        <f t="shared" si="304"/>
        <v>12.27</v>
      </c>
      <c r="K1515" s="606">
        <f t="shared" si="301"/>
        <v>14.89</v>
      </c>
      <c r="L1515" s="389" t="s">
        <v>21</v>
      </c>
      <c r="M1515" s="30"/>
      <c r="N1515" s="30"/>
      <c r="O1515" s="287">
        <f t="shared" si="302"/>
        <v>0</v>
      </c>
      <c r="P1515" s="287">
        <f t="shared" si="303"/>
        <v>0</v>
      </c>
      <c r="Q1515" s="288"/>
      <c r="R1515" s="243"/>
      <c r="S1515" s="385" t="str">
        <f t="shared" si="300"/>
        <v/>
      </c>
    </row>
    <row r="1516" spans="2:19" ht="26.25" hidden="1" thickBot="1">
      <c r="B1516" s="609">
        <v>101553</v>
      </c>
      <c r="C1516" s="610" t="s">
        <v>843</v>
      </c>
      <c r="D1516" s="611" t="s">
        <v>1648</v>
      </c>
      <c r="E1516" s="602"/>
      <c r="F1516" s="603"/>
      <c r="G1516" s="604"/>
      <c r="H1516" s="605"/>
      <c r="I1516" s="675">
        <v>10.67</v>
      </c>
      <c r="J1516" s="675">
        <f t="shared" si="304"/>
        <v>10.67</v>
      </c>
      <c r="K1516" s="606">
        <f t="shared" si="301"/>
        <v>12.95</v>
      </c>
      <c r="L1516" s="389" t="s">
        <v>21</v>
      </c>
      <c r="M1516" s="30"/>
      <c r="N1516" s="30"/>
      <c r="O1516" s="287">
        <f t="shared" si="302"/>
        <v>0</v>
      </c>
      <c r="P1516" s="287">
        <f t="shared" si="303"/>
        <v>0</v>
      </c>
      <c r="Q1516" s="288"/>
      <c r="R1516" s="243"/>
      <c r="S1516" s="385" t="str">
        <f t="shared" si="300"/>
        <v/>
      </c>
    </row>
    <row r="1517" spans="2:19" ht="26.25" hidden="1" thickBot="1">
      <c r="B1517" s="609">
        <v>101554</v>
      </c>
      <c r="C1517" s="610" t="s">
        <v>843</v>
      </c>
      <c r="D1517" s="611" t="s">
        <v>1649</v>
      </c>
      <c r="E1517" s="602"/>
      <c r="F1517" s="603"/>
      <c r="G1517" s="604"/>
      <c r="H1517" s="605"/>
      <c r="I1517" s="675">
        <v>8.16</v>
      </c>
      <c r="J1517" s="675">
        <f t="shared" si="304"/>
        <v>8.16</v>
      </c>
      <c r="K1517" s="606">
        <f t="shared" si="301"/>
        <v>9.9</v>
      </c>
      <c r="L1517" s="389" t="s">
        <v>21</v>
      </c>
      <c r="M1517" s="30"/>
      <c r="N1517" s="30"/>
      <c r="O1517" s="287">
        <f t="shared" si="302"/>
        <v>0</v>
      </c>
      <c r="P1517" s="287">
        <f t="shared" si="303"/>
        <v>0</v>
      </c>
      <c r="Q1517" s="288"/>
      <c r="R1517" s="243"/>
      <c r="S1517" s="385" t="str">
        <f t="shared" si="300"/>
        <v/>
      </c>
    </row>
    <row r="1518" spans="2:19" ht="26.25" hidden="1" thickBot="1">
      <c r="B1518" s="609">
        <v>101555</v>
      </c>
      <c r="C1518" s="610" t="s">
        <v>843</v>
      </c>
      <c r="D1518" s="611" t="s">
        <v>1650</v>
      </c>
      <c r="E1518" s="602"/>
      <c r="F1518" s="603"/>
      <c r="G1518" s="604"/>
      <c r="H1518" s="605"/>
      <c r="I1518" s="675">
        <v>5.86</v>
      </c>
      <c r="J1518" s="675">
        <f t="shared" si="304"/>
        <v>5.86</v>
      </c>
      <c r="K1518" s="606">
        <f t="shared" si="301"/>
        <v>7.11</v>
      </c>
      <c r="L1518" s="389" t="s">
        <v>21</v>
      </c>
      <c r="M1518" s="30"/>
      <c r="N1518" s="30"/>
      <c r="O1518" s="287">
        <f t="shared" si="302"/>
        <v>0</v>
      </c>
      <c r="P1518" s="287">
        <f t="shared" si="303"/>
        <v>0</v>
      </c>
      <c r="Q1518" s="288"/>
      <c r="R1518" s="243"/>
      <c r="S1518" s="385" t="str">
        <f t="shared" si="300"/>
        <v/>
      </c>
    </row>
    <row r="1519" spans="2:19" ht="26.25" hidden="1" thickBot="1">
      <c r="B1519" s="609">
        <v>101556</v>
      </c>
      <c r="C1519" s="610" t="s">
        <v>843</v>
      </c>
      <c r="D1519" s="611" t="s">
        <v>1651</v>
      </c>
      <c r="E1519" s="602"/>
      <c r="F1519" s="603"/>
      <c r="G1519" s="604"/>
      <c r="H1519" s="605"/>
      <c r="I1519" s="675">
        <v>5.5</v>
      </c>
      <c r="J1519" s="675">
        <f t="shared" si="304"/>
        <v>5.5</v>
      </c>
      <c r="K1519" s="606">
        <f t="shared" si="301"/>
        <v>6.67</v>
      </c>
      <c r="L1519" s="389" t="s">
        <v>21</v>
      </c>
      <c r="M1519" s="30"/>
      <c r="N1519" s="30"/>
      <c r="O1519" s="287">
        <f t="shared" si="302"/>
        <v>0</v>
      </c>
      <c r="P1519" s="287">
        <f t="shared" si="303"/>
        <v>0</v>
      </c>
      <c r="Q1519" s="288"/>
      <c r="R1519" s="243"/>
      <c r="S1519" s="385" t="str">
        <f t="shared" si="300"/>
        <v/>
      </c>
    </row>
    <row r="1520" spans="2:19" ht="26.25" hidden="1" thickBot="1">
      <c r="B1520" s="609">
        <v>101626</v>
      </c>
      <c r="C1520" s="610" t="s">
        <v>843</v>
      </c>
      <c r="D1520" s="611" t="s">
        <v>1652</v>
      </c>
      <c r="E1520" s="602"/>
      <c r="F1520" s="603"/>
      <c r="G1520" s="604"/>
      <c r="H1520" s="605"/>
      <c r="I1520" s="675">
        <v>88.65</v>
      </c>
      <c r="J1520" s="675">
        <f t="shared" si="304"/>
        <v>88.65</v>
      </c>
      <c r="K1520" s="606">
        <f t="shared" si="301"/>
        <v>107.58</v>
      </c>
      <c r="L1520" s="389" t="s">
        <v>21</v>
      </c>
      <c r="M1520" s="30"/>
      <c r="N1520" s="30"/>
      <c r="O1520" s="287">
        <f t="shared" si="302"/>
        <v>0</v>
      </c>
      <c r="P1520" s="287">
        <f t="shared" si="303"/>
        <v>0</v>
      </c>
      <c r="Q1520" s="288"/>
      <c r="R1520" s="243"/>
      <c r="S1520" s="385" t="str">
        <f t="shared" si="300"/>
        <v/>
      </c>
    </row>
    <row r="1521" spans="2:19" ht="26.25" hidden="1" thickBot="1">
      <c r="B1521" s="609">
        <v>101627</v>
      </c>
      <c r="C1521" s="610" t="s">
        <v>843</v>
      </c>
      <c r="D1521" s="611" t="s">
        <v>1653</v>
      </c>
      <c r="E1521" s="602"/>
      <c r="F1521" s="603"/>
      <c r="G1521" s="604"/>
      <c r="H1521" s="605"/>
      <c r="I1521" s="675">
        <v>135.6</v>
      </c>
      <c r="J1521" s="675">
        <f t="shared" si="304"/>
        <v>135.6</v>
      </c>
      <c r="K1521" s="606">
        <f t="shared" si="301"/>
        <v>164.55</v>
      </c>
      <c r="L1521" s="389" t="s">
        <v>21</v>
      </c>
      <c r="M1521" s="30"/>
      <c r="N1521" s="30"/>
      <c r="O1521" s="287">
        <f t="shared" si="302"/>
        <v>0</v>
      </c>
      <c r="P1521" s="287">
        <f t="shared" si="303"/>
        <v>0</v>
      </c>
      <c r="Q1521" s="288"/>
      <c r="R1521" s="243"/>
      <c r="S1521" s="385" t="str">
        <f t="shared" si="300"/>
        <v/>
      </c>
    </row>
    <row r="1522" spans="2:19" ht="26.25" hidden="1" thickBot="1">
      <c r="B1522" s="609">
        <v>101628</v>
      </c>
      <c r="C1522" s="610" t="s">
        <v>843</v>
      </c>
      <c r="D1522" s="611" t="s">
        <v>1654</v>
      </c>
      <c r="E1522" s="602"/>
      <c r="F1522" s="603"/>
      <c r="G1522" s="604"/>
      <c r="H1522" s="605"/>
      <c r="I1522" s="675">
        <v>66.930000000000007</v>
      </c>
      <c r="J1522" s="675">
        <f t="shared" si="304"/>
        <v>66.930000000000007</v>
      </c>
      <c r="K1522" s="606">
        <f t="shared" si="301"/>
        <v>81.22</v>
      </c>
      <c r="L1522" s="389" t="s">
        <v>21</v>
      </c>
      <c r="M1522" s="30"/>
      <c r="N1522" s="30"/>
      <c r="O1522" s="287">
        <f t="shared" si="302"/>
        <v>0</v>
      </c>
      <c r="P1522" s="287">
        <f t="shared" si="303"/>
        <v>0</v>
      </c>
      <c r="Q1522" s="288"/>
      <c r="R1522" s="243"/>
      <c r="S1522" s="385" t="str">
        <f t="shared" si="300"/>
        <v/>
      </c>
    </row>
    <row r="1523" spans="2:19" ht="26.25" hidden="1" thickBot="1">
      <c r="B1523" s="609">
        <v>101629</v>
      </c>
      <c r="C1523" s="610" t="s">
        <v>843</v>
      </c>
      <c r="D1523" s="611" t="s">
        <v>1655</v>
      </c>
      <c r="E1523" s="602"/>
      <c r="F1523" s="603"/>
      <c r="G1523" s="604"/>
      <c r="H1523" s="605"/>
      <c r="I1523" s="675">
        <v>78.12</v>
      </c>
      <c r="J1523" s="675">
        <f t="shared" si="304"/>
        <v>78.12</v>
      </c>
      <c r="K1523" s="606">
        <f t="shared" si="301"/>
        <v>94.8</v>
      </c>
      <c r="L1523" s="389" t="s">
        <v>21</v>
      </c>
      <c r="M1523" s="30"/>
      <c r="N1523" s="30"/>
      <c r="O1523" s="287">
        <f t="shared" si="302"/>
        <v>0</v>
      </c>
      <c r="P1523" s="287">
        <f t="shared" si="303"/>
        <v>0</v>
      </c>
      <c r="Q1523" s="288"/>
      <c r="R1523" s="243"/>
      <c r="S1523" s="385" t="str">
        <f t="shared" si="300"/>
        <v/>
      </c>
    </row>
    <row r="1524" spans="2:19" ht="26.25" hidden="1" thickBot="1">
      <c r="B1524" s="609">
        <v>100921</v>
      </c>
      <c r="C1524" s="610" t="s">
        <v>843</v>
      </c>
      <c r="D1524" s="611" t="s">
        <v>1656</v>
      </c>
      <c r="E1524" s="602"/>
      <c r="F1524" s="603"/>
      <c r="G1524" s="604"/>
      <c r="H1524" s="605"/>
      <c r="I1524" s="675">
        <v>43.29</v>
      </c>
      <c r="J1524" s="675">
        <f t="shared" si="304"/>
        <v>43.29</v>
      </c>
      <c r="K1524" s="606">
        <f t="shared" si="301"/>
        <v>52.53</v>
      </c>
      <c r="L1524" s="389" t="s">
        <v>21</v>
      </c>
      <c r="M1524" s="30"/>
      <c r="N1524" s="30"/>
      <c r="O1524" s="287">
        <f t="shared" si="302"/>
        <v>0</v>
      </c>
      <c r="P1524" s="287">
        <f t="shared" si="303"/>
        <v>0</v>
      </c>
      <c r="Q1524" s="288"/>
      <c r="R1524" s="243"/>
      <c r="S1524" s="385" t="str">
        <f t="shared" si="300"/>
        <v/>
      </c>
    </row>
    <row r="1525" spans="2:19" ht="26.25" hidden="1" thickBot="1">
      <c r="B1525" s="609">
        <v>100922</v>
      </c>
      <c r="C1525" s="610" t="s">
        <v>843</v>
      </c>
      <c r="D1525" s="611" t="s">
        <v>1657</v>
      </c>
      <c r="E1525" s="602"/>
      <c r="F1525" s="603"/>
      <c r="G1525" s="604"/>
      <c r="H1525" s="605"/>
      <c r="I1525" s="675">
        <v>30.78</v>
      </c>
      <c r="J1525" s="675">
        <f t="shared" si="304"/>
        <v>30.78</v>
      </c>
      <c r="K1525" s="606">
        <f t="shared" si="301"/>
        <v>37.35</v>
      </c>
      <c r="L1525" s="389" t="s">
        <v>21</v>
      </c>
      <c r="M1525" s="30"/>
      <c r="N1525" s="30"/>
      <c r="O1525" s="287">
        <f t="shared" si="302"/>
        <v>0</v>
      </c>
      <c r="P1525" s="287">
        <f t="shared" si="303"/>
        <v>0</v>
      </c>
      <c r="Q1525" s="288"/>
      <c r="R1525" s="243"/>
      <c r="S1525" s="385" t="str">
        <f t="shared" si="300"/>
        <v/>
      </c>
    </row>
    <row r="1526" spans="2:19" ht="26.25" hidden="1" thickBot="1">
      <c r="B1526" s="609">
        <v>100923</v>
      </c>
      <c r="C1526" s="610" t="s">
        <v>843</v>
      </c>
      <c r="D1526" s="611" t="s">
        <v>1658</v>
      </c>
      <c r="E1526" s="602"/>
      <c r="F1526" s="603"/>
      <c r="G1526" s="604"/>
      <c r="H1526" s="605"/>
      <c r="I1526" s="675">
        <v>34.479999999999997</v>
      </c>
      <c r="J1526" s="675">
        <f t="shared" si="304"/>
        <v>34.479999999999997</v>
      </c>
      <c r="K1526" s="606">
        <f t="shared" si="301"/>
        <v>41.84</v>
      </c>
      <c r="L1526" s="389" t="s">
        <v>21</v>
      </c>
      <c r="M1526" s="30"/>
      <c r="N1526" s="30"/>
      <c r="O1526" s="287">
        <f t="shared" si="302"/>
        <v>0</v>
      </c>
      <c r="P1526" s="287">
        <f t="shared" si="303"/>
        <v>0</v>
      </c>
      <c r="Q1526" s="288"/>
      <c r="R1526" s="243"/>
      <c r="S1526" s="385" t="str">
        <f t="shared" si="300"/>
        <v/>
      </c>
    </row>
    <row r="1527" spans="2:19" ht="26.25" hidden="1" thickBot="1">
      <c r="B1527" s="609">
        <v>101661</v>
      </c>
      <c r="C1527" s="610" t="s">
        <v>843</v>
      </c>
      <c r="D1527" s="611" t="s">
        <v>1659</v>
      </c>
      <c r="E1527" s="602"/>
      <c r="F1527" s="603"/>
      <c r="G1527" s="604"/>
      <c r="H1527" s="605"/>
      <c r="I1527" s="675">
        <v>85.59</v>
      </c>
      <c r="J1527" s="675">
        <f t="shared" si="304"/>
        <v>85.59</v>
      </c>
      <c r="K1527" s="606">
        <f t="shared" si="301"/>
        <v>103.86</v>
      </c>
      <c r="L1527" s="389" t="s">
        <v>21</v>
      </c>
      <c r="M1527" s="30"/>
      <c r="N1527" s="30"/>
      <c r="O1527" s="287">
        <f t="shared" si="302"/>
        <v>0</v>
      </c>
      <c r="P1527" s="287">
        <f t="shared" si="303"/>
        <v>0</v>
      </c>
      <c r="Q1527" s="288"/>
      <c r="R1527" s="243"/>
      <c r="S1527" s="385" t="str">
        <f t="shared" si="300"/>
        <v/>
      </c>
    </row>
    <row r="1528" spans="2:19" ht="13.5" hidden="1" thickBot="1">
      <c r="B1528" s="609">
        <v>101651</v>
      </c>
      <c r="C1528" s="610" t="s">
        <v>843</v>
      </c>
      <c r="D1528" s="611" t="s">
        <v>1660</v>
      </c>
      <c r="E1528" s="602"/>
      <c r="F1528" s="603"/>
      <c r="G1528" s="604"/>
      <c r="H1528" s="605"/>
      <c r="I1528" s="675">
        <v>41.03</v>
      </c>
      <c r="J1528" s="675">
        <f t="shared" si="304"/>
        <v>41.03</v>
      </c>
      <c r="K1528" s="606">
        <f t="shared" si="301"/>
        <v>49.79</v>
      </c>
      <c r="L1528" s="389" t="s">
        <v>21</v>
      </c>
      <c r="M1528" s="30"/>
      <c r="N1528" s="30"/>
      <c r="O1528" s="287">
        <f t="shared" si="302"/>
        <v>0</v>
      </c>
      <c r="P1528" s="287">
        <f t="shared" si="303"/>
        <v>0</v>
      </c>
      <c r="Q1528" s="288"/>
      <c r="R1528" s="243"/>
      <c r="S1528" s="385" t="str">
        <f t="shared" si="300"/>
        <v/>
      </c>
    </row>
    <row r="1529" spans="2:19" ht="13.5" hidden="1" thickBot="1">
      <c r="B1529" s="609">
        <v>101630</v>
      </c>
      <c r="C1529" s="610" t="s">
        <v>843</v>
      </c>
      <c r="D1529" s="611" t="s">
        <v>1661</v>
      </c>
      <c r="E1529" s="602"/>
      <c r="F1529" s="603"/>
      <c r="G1529" s="604"/>
      <c r="H1529" s="605"/>
      <c r="I1529" s="675">
        <v>50.89</v>
      </c>
      <c r="J1529" s="675">
        <f t="shared" si="304"/>
        <v>50.89</v>
      </c>
      <c r="K1529" s="606">
        <f t="shared" si="301"/>
        <v>61.76</v>
      </c>
      <c r="L1529" s="389" t="s">
        <v>21</v>
      </c>
      <c r="M1529" s="30"/>
      <c r="N1529" s="30"/>
      <c r="O1529" s="287">
        <f t="shared" si="302"/>
        <v>0</v>
      </c>
      <c r="P1529" s="287">
        <f t="shared" si="303"/>
        <v>0</v>
      </c>
      <c r="Q1529" s="288"/>
      <c r="R1529" s="243"/>
      <c r="S1529" s="385" t="str">
        <f t="shared" si="300"/>
        <v/>
      </c>
    </row>
    <row r="1530" spans="2:19" ht="26.25" hidden="1" thickBot="1">
      <c r="B1530" s="609">
        <v>101631</v>
      </c>
      <c r="C1530" s="610" t="s">
        <v>843</v>
      </c>
      <c r="D1530" s="611" t="s">
        <v>1662</v>
      </c>
      <c r="E1530" s="602"/>
      <c r="F1530" s="603"/>
      <c r="G1530" s="604"/>
      <c r="H1530" s="605"/>
      <c r="I1530" s="675">
        <v>27.9</v>
      </c>
      <c r="J1530" s="675">
        <f t="shared" si="304"/>
        <v>27.9</v>
      </c>
      <c r="K1530" s="606">
        <f t="shared" si="301"/>
        <v>33.86</v>
      </c>
      <c r="L1530" s="389" t="s">
        <v>21</v>
      </c>
      <c r="M1530" s="30"/>
      <c r="N1530" s="30"/>
      <c r="O1530" s="287">
        <f t="shared" si="302"/>
        <v>0</v>
      </c>
      <c r="P1530" s="287">
        <f t="shared" si="303"/>
        <v>0</v>
      </c>
      <c r="Q1530" s="288"/>
      <c r="R1530" s="243"/>
      <c r="S1530" s="385" t="str">
        <f t="shared" si="300"/>
        <v/>
      </c>
    </row>
    <row r="1531" spans="2:19" ht="26.25" hidden="1" thickBot="1">
      <c r="B1531" s="609">
        <v>101632</v>
      </c>
      <c r="C1531" s="610" t="s">
        <v>843</v>
      </c>
      <c r="D1531" s="611" t="s">
        <v>1663</v>
      </c>
      <c r="E1531" s="602"/>
      <c r="F1531" s="603"/>
      <c r="G1531" s="604"/>
      <c r="H1531" s="605"/>
      <c r="I1531" s="675">
        <v>19.170000000000002</v>
      </c>
      <c r="J1531" s="675">
        <f t="shared" si="304"/>
        <v>19.170000000000002</v>
      </c>
      <c r="K1531" s="606">
        <f t="shared" si="301"/>
        <v>23.26</v>
      </c>
      <c r="L1531" s="389" t="s">
        <v>21</v>
      </c>
      <c r="M1531" s="30"/>
      <c r="N1531" s="30"/>
      <c r="O1531" s="287">
        <f t="shared" si="302"/>
        <v>0</v>
      </c>
      <c r="P1531" s="287">
        <f t="shared" si="303"/>
        <v>0</v>
      </c>
      <c r="Q1531" s="288"/>
      <c r="R1531" s="243"/>
      <c r="S1531" s="385" t="str">
        <f t="shared" si="300"/>
        <v/>
      </c>
    </row>
    <row r="1532" spans="2:19" ht="26.25" hidden="1" thickBot="1">
      <c r="B1532" s="609">
        <v>101633</v>
      </c>
      <c r="C1532" s="610" t="s">
        <v>843</v>
      </c>
      <c r="D1532" s="611" t="s">
        <v>1664</v>
      </c>
      <c r="E1532" s="602"/>
      <c r="F1532" s="603"/>
      <c r="G1532" s="604"/>
      <c r="H1532" s="605"/>
      <c r="I1532" s="675">
        <v>58.34</v>
      </c>
      <c r="J1532" s="675">
        <f t="shared" si="304"/>
        <v>58.34</v>
      </c>
      <c r="K1532" s="606">
        <f t="shared" si="301"/>
        <v>70.8</v>
      </c>
      <c r="L1532" s="389" t="s">
        <v>21</v>
      </c>
      <c r="M1532" s="30"/>
      <c r="N1532" s="30"/>
      <c r="O1532" s="287">
        <f t="shared" si="302"/>
        <v>0</v>
      </c>
      <c r="P1532" s="287">
        <f t="shared" si="303"/>
        <v>0</v>
      </c>
      <c r="Q1532" s="288"/>
      <c r="R1532" s="243"/>
      <c r="S1532" s="385" t="str">
        <f t="shared" ref="S1532:S1595" si="305">IF(R1532="x","x",IF(R1532="y","x",IF(R1532="xy","x",IF(P1532&gt;0,"x",""))))</f>
        <v/>
      </c>
    </row>
    <row r="1533" spans="2:19" ht="26.25" hidden="1" thickBot="1">
      <c r="B1533" s="609">
        <v>101636</v>
      </c>
      <c r="C1533" s="610" t="s">
        <v>843</v>
      </c>
      <c r="D1533" s="611" t="s">
        <v>1665</v>
      </c>
      <c r="E1533" s="602"/>
      <c r="F1533" s="603"/>
      <c r="G1533" s="604"/>
      <c r="H1533" s="605"/>
      <c r="I1533" s="675">
        <v>102.27</v>
      </c>
      <c r="J1533" s="675">
        <f t="shared" si="304"/>
        <v>102.27</v>
      </c>
      <c r="K1533" s="606">
        <f t="shared" si="301"/>
        <v>124.1</v>
      </c>
      <c r="L1533" s="389" t="s">
        <v>21</v>
      </c>
      <c r="M1533" s="30"/>
      <c r="N1533" s="30"/>
      <c r="O1533" s="287">
        <f t="shared" si="302"/>
        <v>0</v>
      </c>
      <c r="P1533" s="287">
        <f t="shared" si="303"/>
        <v>0</v>
      </c>
      <c r="Q1533" s="288"/>
      <c r="R1533" s="243"/>
      <c r="S1533" s="385" t="str">
        <f t="shared" si="305"/>
        <v/>
      </c>
    </row>
    <row r="1534" spans="2:19" ht="26.25" hidden="1" thickBot="1">
      <c r="B1534" s="609">
        <v>101637</v>
      </c>
      <c r="C1534" s="610" t="s">
        <v>843</v>
      </c>
      <c r="D1534" s="611" t="s">
        <v>1666</v>
      </c>
      <c r="E1534" s="602"/>
      <c r="F1534" s="603"/>
      <c r="G1534" s="604"/>
      <c r="H1534" s="605"/>
      <c r="I1534" s="675">
        <v>96.91</v>
      </c>
      <c r="J1534" s="675">
        <f t="shared" si="304"/>
        <v>96.91</v>
      </c>
      <c r="K1534" s="606">
        <f t="shared" si="301"/>
        <v>117.6</v>
      </c>
      <c r="L1534" s="389" t="s">
        <v>21</v>
      </c>
      <c r="M1534" s="30"/>
      <c r="N1534" s="30"/>
      <c r="O1534" s="287">
        <f t="shared" si="302"/>
        <v>0</v>
      </c>
      <c r="P1534" s="287">
        <f t="shared" si="303"/>
        <v>0</v>
      </c>
      <c r="Q1534" s="288"/>
      <c r="R1534" s="243"/>
      <c r="S1534" s="385" t="str">
        <f t="shared" si="305"/>
        <v/>
      </c>
    </row>
    <row r="1535" spans="2:19" ht="13.5" hidden="1" thickBot="1">
      <c r="B1535" s="609">
        <v>96985</v>
      </c>
      <c r="C1535" s="610" t="s">
        <v>843</v>
      </c>
      <c r="D1535" s="611" t="s">
        <v>1667</v>
      </c>
      <c r="E1535" s="602"/>
      <c r="F1535" s="603"/>
      <c r="G1535" s="604"/>
      <c r="H1535" s="605"/>
      <c r="I1535" s="675">
        <v>46.09</v>
      </c>
      <c r="J1535" s="675">
        <f t="shared" si="304"/>
        <v>46.09</v>
      </c>
      <c r="K1535" s="606">
        <f t="shared" si="301"/>
        <v>55.93</v>
      </c>
      <c r="L1535" s="389" t="s">
        <v>21</v>
      </c>
      <c r="M1535" s="30"/>
      <c r="N1535" s="30"/>
      <c r="O1535" s="287">
        <f t="shared" si="302"/>
        <v>0</v>
      </c>
      <c r="P1535" s="287">
        <f t="shared" si="303"/>
        <v>0</v>
      </c>
      <c r="Q1535" s="288"/>
      <c r="R1535" s="243"/>
      <c r="S1535" s="385" t="str">
        <f t="shared" si="305"/>
        <v/>
      </c>
    </row>
    <row r="1536" spans="2:19" ht="13.5" hidden="1" thickBot="1">
      <c r="B1536" s="609">
        <v>96986</v>
      </c>
      <c r="C1536" s="610" t="s">
        <v>843</v>
      </c>
      <c r="D1536" s="611" t="s">
        <v>1668</v>
      </c>
      <c r="E1536" s="602"/>
      <c r="F1536" s="603"/>
      <c r="G1536" s="604"/>
      <c r="H1536" s="605"/>
      <c r="I1536" s="675">
        <v>69.14</v>
      </c>
      <c r="J1536" s="675">
        <f t="shared" si="304"/>
        <v>69.14</v>
      </c>
      <c r="K1536" s="606">
        <f t="shared" si="301"/>
        <v>83.9</v>
      </c>
      <c r="L1536" s="389" t="s">
        <v>21</v>
      </c>
      <c r="M1536" s="30"/>
      <c r="N1536" s="30"/>
      <c r="O1536" s="287">
        <f t="shared" si="302"/>
        <v>0</v>
      </c>
      <c r="P1536" s="287">
        <f t="shared" si="303"/>
        <v>0</v>
      </c>
      <c r="Q1536" s="288"/>
      <c r="R1536" s="243"/>
      <c r="S1536" s="385" t="str">
        <f t="shared" si="305"/>
        <v/>
      </c>
    </row>
    <row r="1537" spans="2:19" ht="13.5" hidden="1" thickBot="1">
      <c r="B1537" s="609">
        <v>96987</v>
      </c>
      <c r="C1537" s="610" t="s">
        <v>843</v>
      </c>
      <c r="D1537" s="611" t="s">
        <v>1669</v>
      </c>
      <c r="E1537" s="602"/>
      <c r="F1537" s="603"/>
      <c r="G1537" s="604"/>
      <c r="H1537" s="605"/>
      <c r="I1537" s="675">
        <v>101.74</v>
      </c>
      <c r="J1537" s="675">
        <f t="shared" si="304"/>
        <v>101.74</v>
      </c>
      <c r="K1537" s="606">
        <f t="shared" si="301"/>
        <v>123.46</v>
      </c>
      <c r="L1537" s="389" t="s">
        <v>21</v>
      </c>
      <c r="M1537" s="30"/>
      <c r="N1537" s="30"/>
      <c r="O1537" s="287">
        <f t="shared" si="302"/>
        <v>0</v>
      </c>
      <c r="P1537" s="287">
        <f t="shared" si="303"/>
        <v>0</v>
      </c>
      <c r="Q1537" s="288"/>
      <c r="R1537" s="243"/>
      <c r="S1537" s="385" t="str">
        <f t="shared" si="305"/>
        <v/>
      </c>
    </row>
    <row r="1538" spans="2:19" ht="13.5" hidden="1" thickBot="1">
      <c r="B1538" s="609">
        <v>96988</v>
      </c>
      <c r="C1538" s="610" t="s">
        <v>843</v>
      </c>
      <c r="D1538" s="611" t="s">
        <v>1670</v>
      </c>
      <c r="E1538" s="602"/>
      <c r="F1538" s="603"/>
      <c r="G1538" s="604"/>
      <c r="H1538" s="605"/>
      <c r="I1538" s="675">
        <v>123.46</v>
      </c>
      <c r="J1538" s="675">
        <f t="shared" si="304"/>
        <v>123.46</v>
      </c>
      <c r="K1538" s="606">
        <f t="shared" si="301"/>
        <v>149.82</v>
      </c>
      <c r="L1538" s="389" t="s">
        <v>21</v>
      </c>
      <c r="M1538" s="30"/>
      <c r="N1538" s="30"/>
      <c r="O1538" s="287">
        <f t="shared" si="302"/>
        <v>0</v>
      </c>
      <c r="P1538" s="287">
        <f t="shared" si="303"/>
        <v>0</v>
      </c>
      <c r="Q1538" s="288"/>
      <c r="R1538" s="243"/>
      <c r="S1538" s="385" t="str">
        <f t="shared" si="305"/>
        <v/>
      </c>
    </row>
    <row r="1539" spans="2:19" ht="26.25" hidden="1" thickBot="1">
      <c r="B1539" s="609">
        <v>96971</v>
      </c>
      <c r="C1539" s="610" t="s">
        <v>843</v>
      </c>
      <c r="D1539" s="611" t="s">
        <v>1671</v>
      </c>
      <c r="E1539" s="602"/>
      <c r="F1539" s="603"/>
      <c r="G1539" s="604"/>
      <c r="H1539" s="605"/>
      <c r="I1539" s="675">
        <v>28.01</v>
      </c>
      <c r="J1539" s="675">
        <f t="shared" si="304"/>
        <v>28.01</v>
      </c>
      <c r="K1539" s="606">
        <f t="shared" si="301"/>
        <v>33.99</v>
      </c>
      <c r="L1539" s="389" t="s">
        <v>19</v>
      </c>
      <c r="M1539" s="30"/>
      <c r="N1539" s="30"/>
      <c r="O1539" s="287">
        <f t="shared" si="302"/>
        <v>0</v>
      </c>
      <c r="P1539" s="287">
        <f t="shared" si="303"/>
        <v>0</v>
      </c>
      <c r="Q1539" s="288"/>
      <c r="R1539" s="243"/>
      <c r="S1539" s="385" t="str">
        <f t="shared" si="305"/>
        <v/>
      </c>
    </row>
    <row r="1540" spans="2:19" ht="26.25" hidden="1" thickBot="1">
      <c r="B1540" s="609">
        <v>96972</v>
      </c>
      <c r="C1540" s="610" t="s">
        <v>843</v>
      </c>
      <c r="D1540" s="611" t="s">
        <v>1672</v>
      </c>
      <c r="E1540" s="602"/>
      <c r="F1540" s="603"/>
      <c r="G1540" s="604"/>
      <c r="H1540" s="605"/>
      <c r="I1540" s="675">
        <v>39.19</v>
      </c>
      <c r="J1540" s="675">
        <f t="shared" si="304"/>
        <v>39.19</v>
      </c>
      <c r="K1540" s="606">
        <f t="shared" si="301"/>
        <v>47.56</v>
      </c>
      <c r="L1540" s="389" t="s">
        <v>19</v>
      </c>
      <c r="M1540" s="30"/>
      <c r="N1540" s="30"/>
      <c r="O1540" s="287">
        <f t="shared" si="302"/>
        <v>0</v>
      </c>
      <c r="P1540" s="287">
        <f t="shared" si="303"/>
        <v>0</v>
      </c>
      <c r="Q1540" s="288"/>
      <c r="R1540" s="243"/>
      <c r="S1540" s="385" t="str">
        <f t="shared" si="305"/>
        <v/>
      </c>
    </row>
    <row r="1541" spans="2:19" ht="26.25" hidden="1" thickBot="1">
      <c r="B1541" s="609">
        <v>96973</v>
      </c>
      <c r="C1541" s="610" t="s">
        <v>843</v>
      </c>
      <c r="D1541" s="611" t="s">
        <v>1673</v>
      </c>
      <c r="E1541" s="602"/>
      <c r="F1541" s="603"/>
      <c r="G1541" s="604"/>
      <c r="H1541" s="605"/>
      <c r="I1541" s="675">
        <v>49.97</v>
      </c>
      <c r="J1541" s="675">
        <f t="shared" si="304"/>
        <v>49.97</v>
      </c>
      <c r="K1541" s="606">
        <f t="shared" si="301"/>
        <v>60.64</v>
      </c>
      <c r="L1541" s="389" t="s">
        <v>19</v>
      </c>
      <c r="M1541" s="30"/>
      <c r="N1541" s="30"/>
      <c r="O1541" s="287">
        <f t="shared" si="302"/>
        <v>0</v>
      </c>
      <c r="P1541" s="287">
        <f t="shared" si="303"/>
        <v>0</v>
      </c>
      <c r="Q1541" s="288"/>
      <c r="R1541" s="243"/>
      <c r="S1541" s="385" t="str">
        <f t="shared" si="305"/>
        <v/>
      </c>
    </row>
    <row r="1542" spans="2:19" ht="26.25" hidden="1" thickBot="1">
      <c r="B1542" s="609">
        <v>96974</v>
      </c>
      <c r="C1542" s="610" t="s">
        <v>843</v>
      </c>
      <c r="D1542" s="611" t="s">
        <v>1674</v>
      </c>
      <c r="E1542" s="602"/>
      <c r="F1542" s="603"/>
      <c r="G1542" s="604"/>
      <c r="H1542" s="605"/>
      <c r="I1542" s="675">
        <v>64.2</v>
      </c>
      <c r="J1542" s="675">
        <f t="shared" si="304"/>
        <v>64.2</v>
      </c>
      <c r="K1542" s="606">
        <f t="shared" si="301"/>
        <v>77.91</v>
      </c>
      <c r="L1542" s="389" t="s">
        <v>19</v>
      </c>
      <c r="M1542" s="30"/>
      <c r="N1542" s="30"/>
      <c r="O1542" s="287">
        <f t="shared" si="302"/>
        <v>0</v>
      </c>
      <c r="P1542" s="287">
        <f t="shared" si="303"/>
        <v>0</v>
      </c>
      <c r="Q1542" s="288"/>
      <c r="R1542" s="243"/>
      <c r="S1542" s="385" t="str">
        <f t="shared" si="305"/>
        <v/>
      </c>
    </row>
    <row r="1543" spans="2:19" ht="26.25" hidden="1" thickBot="1">
      <c r="B1543" s="609">
        <v>96975</v>
      </c>
      <c r="C1543" s="610" t="s">
        <v>843</v>
      </c>
      <c r="D1543" s="611" t="s">
        <v>1675</v>
      </c>
      <c r="E1543" s="602"/>
      <c r="F1543" s="603"/>
      <c r="G1543" s="604"/>
      <c r="H1543" s="605"/>
      <c r="I1543" s="675">
        <v>83.2</v>
      </c>
      <c r="J1543" s="675">
        <f t="shared" si="304"/>
        <v>83.2</v>
      </c>
      <c r="K1543" s="606">
        <f t="shared" si="301"/>
        <v>100.96</v>
      </c>
      <c r="L1543" s="389" t="s">
        <v>19</v>
      </c>
      <c r="M1543" s="30"/>
      <c r="N1543" s="30"/>
      <c r="O1543" s="287">
        <f t="shared" si="302"/>
        <v>0</v>
      </c>
      <c r="P1543" s="287">
        <f t="shared" si="303"/>
        <v>0</v>
      </c>
      <c r="Q1543" s="288"/>
      <c r="R1543" s="243"/>
      <c r="S1543" s="385" t="str">
        <f t="shared" si="305"/>
        <v/>
      </c>
    </row>
    <row r="1544" spans="2:19" ht="26.25" hidden="1" thickBot="1">
      <c r="B1544" s="609">
        <v>96976</v>
      </c>
      <c r="C1544" s="610" t="s">
        <v>843</v>
      </c>
      <c r="D1544" s="611" t="s">
        <v>1676</v>
      </c>
      <c r="E1544" s="602"/>
      <c r="F1544" s="603"/>
      <c r="G1544" s="604"/>
      <c r="H1544" s="605"/>
      <c r="I1544" s="675">
        <v>108.41</v>
      </c>
      <c r="J1544" s="675">
        <f t="shared" si="304"/>
        <v>108.41</v>
      </c>
      <c r="K1544" s="606">
        <f t="shared" si="301"/>
        <v>131.56</v>
      </c>
      <c r="L1544" s="389" t="s">
        <v>19</v>
      </c>
      <c r="M1544" s="30"/>
      <c r="N1544" s="30"/>
      <c r="O1544" s="287">
        <f t="shared" si="302"/>
        <v>0</v>
      </c>
      <c r="P1544" s="287">
        <f t="shared" si="303"/>
        <v>0</v>
      </c>
      <c r="Q1544" s="288"/>
      <c r="R1544" s="243"/>
      <c r="S1544" s="385" t="str">
        <f t="shared" si="305"/>
        <v/>
      </c>
    </row>
    <row r="1545" spans="2:19" ht="26.25" hidden="1" thickBot="1">
      <c r="B1545" s="609">
        <v>96977</v>
      </c>
      <c r="C1545" s="610" t="s">
        <v>843</v>
      </c>
      <c r="D1545" s="611" t="s">
        <v>1677</v>
      </c>
      <c r="E1545" s="602"/>
      <c r="F1545" s="603"/>
      <c r="G1545" s="604"/>
      <c r="H1545" s="605"/>
      <c r="I1545" s="675">
        <v>42.35</v>
      </c>
      <c r="J1545" s="675">
        <f t="shared" si="304"/>
        <v>42.35</v>
      </c>
      <c r="K1545" s="606">
        <f t="shared" si="301"/>
        <v>51.39</v>
      </c>
      <c r="L1545" s="389" t="s">
        <v>19</v>
      </c>
      <c r="M1545" s="30"/>
      <c r="N1545" s="30"/>
      <c r="O1545" s="287">
        <f t="shared" si="302"/>
        <v>0</v>
      </c>
      <c r="P1545" s="287">
        <f t="shared" si="303"/>
        <v>0</v>
      </c>
      <c r="Q1545" s="288"/>
      <c r="R1545" s="243"/>
      <c r="S1545" s="385" t="str">
        <f t="shared" si="305"/>
        <v/>
      </c>
    </row>
    <row r="1546" spans="2:19" ht="26.25" hidden="1" thickBot="1">
      <c r="B1546" s="609">
        <v>96978</v>
      </c>
      <c r="C1546" s="610" t="s">
        <v>843</v>
      </c>
      <c r="D1546" s="611" t="s">
        <v>1678</v>
      </c>
      <c r="E1546" s="602"/>
      <c r="F1546" s="603"/>
      <c r="G1546" s="604"/>
      <c r="H1546" s="605"/>
      <c r="I1546" s="675">
        <v>59.38</v>
      </c>
      <c r="J1546" s="675">
        <f t="shared" si="304"/>
        <v>59.38</v>
      </c>
      <c r="K1546" s="606">
        <f t="shared" si="301"/>
        <v>72.06</v>
      </c>
      <c r="L1546" s="389" t="s">
        <v>19</v>
      </c>
      <c r="M1546" s="30"/>
      <c r="N1546" s="30"/>
      <c r="O1546" s="287">
        <f t="shared" si="302"/>
        <v>0</v>
      </c>
      <c r="P1546" s="287">
        <f t="shared" si="303"/>
        <v>0</v>
      </c>
      <c r="Q1546" s="288"/>
      <c r="R1546" s="243"/>
      <c r="S1546" s="385" t="str">
        <f t="shared" si="305"/>
        <v/>
      </c>
    </row>
    <row r="1547" spans="2:19" ht="26.25" hidden="1" thickBot="1">
      <c r="B1547" s="609">
        <v>96979</v>
      </c>
      <c r="C1547" s="610" t="s">
        <v>843</v>
      </c>
      <c r="D1547" s="611" t="s">
        <v>1679</v>
      </c>
      <c r="E1547" s="602"/>
      <c r="F1547" s="603"/>
      <c r="G1547" s="604"/>
      <c r="H1547" s="605"/>
      <c r="I1547" s="675">
        <v>83.19</v>
      </c>
      <c r="J1547" s="675">
        <f t="shared" si="304"/>
        <v>83.19</v>
      </c>
      <c r="K1547" s="606">
        <f t="shared" si="301"/>
        <v>100.95</v>
      </c>
      <c r="L1547" s="389" t="s">
        <v>19</v>
      </c>
      <c r="M1547" s="30"/>
      <c r="N1547" s="30"/>
      <c r="O1547" s="287">
        <f t="shared" si="302"/>
        <v>0</v>
      </c>
      <c r="P1547" s="287">
        <f t="shared" si="303"/>
        <v>0</v>
      </c>
      <c r="Q1547" s="288"/>
      <c r="R1547" s="243"/>
      <c r="S1547" s="385" t="str">
        <f t="shared" si="305"/>
        <v/>
      </c>
    </row>
    <row r="1548" spans="2:19" ht="13.5" hidden="1" thickBot="1">
      <c r="B1548" s="609">
        <v>96989</v>
      </c>
      <c r="C1548" s="610" t="s">
        <v>843</v>
      </c>
      <c r="D1548" s="611" t="s">
        <v>1680</v>
      </c>
      <c r="E1548" s="602"/>
      <c r="F1548" s="603"/>
      <c r="G1548" s="604"/>
      <c r="H1548" s="605"/>
      <c r="I1548" s="675">
        <v>81.63</v>
      </c>
      <c r="J1548" s="675">
        <f t="shared" si="304"/>
        <v>81.63</v>
      </c>
      <c r="K1548" s="606">
        <f t="shared" si="301"/>
        <v>99.06</v>
      </c>
      <c r="L1548" s="389" t="s">
        <v>21</v>
      </c>
      <c r="M1548" s="30"/>
      <c r="N1548" s="30"/>
      <c r="O1548" s="287">
        <f t="shared" si="302"/>
        <v>0</v>
      </c>
      <c r="P1548" s="287">
        <f t="shared" si="303"/>
        <v>0</v>
      </c>
      <c r="Q1548" s="288"/>
      <c r="R1548" s="243"/>
      <c r="S1548" s="385" t="str">
        <f t="shared" si="305"/>
        <v/>
      </c>
    </row>
    <row r="1549" spans="2:19" ht="13.5" hidden="1" thickBot="1">
      <c r="B1549" s="609">
        <v>98463</v>
      </c>
      <c r="C1549" s="610" t="s">
        <v>843</v>
      </c>
      <c r="D1549" s="611" t="s">
        <v>1681</v>
      </c>
      <c r="E1549" s="602"/>
      <c r="F1549" s="603"/>
      <c r="G1549" s="604"/>
      <c r="H1549" s="605"/>
      <c r="I1549" s="675">
        <v>21.19</v>
      </c>
      <c r="J1549" s="675">
        <f t="shared" si="304"/>
        <v>21.19</v>
      </c>
      <c r="K1549" s="606">
        <f t="shared" si="301"/>
        <v>25.71</v>
      </c>
      <c r="L1549" s="389" t="s">
        <v>21</v>
      </c>
      <c r="M1549" s="30"/>
      <c r="N1549" s="30"/>
      <c r="O1549" s="287">
        <f t="shared" si="302"/>
        <v>0</v>
      </c>
      <c r="P1549" s="287">
        <f t="shared" si="303"/>
        <v>0</v>
      </c>
      <c r="Q1549" s="288"/>
      <c r="R1549" s="243"/>
      <c r="S1549" s="385" t="str">
        <f t="shared" si="305"/>
        <v/>
      </c>
    </row>
    <row r="1550" spans="2:19" ht="26.25" hidden="1" thickBot="1">
      <c r="B1550" s="609">
        <v>100560</v>
      </c>
      <c r="C1550" s="610" t="s">
        <v>843</v>
      </c>
      <c r="D1550" s="611" t="s">
        <v>1682</v>
      </c>
      <c r="E1550" s="602"/>
      <c r="F1550" s="603"/>
      <c r="G1550" s="604"/>
      <c r="H1550" s="605"/>
      <c r="I1550" s="675">
        <v>112.4</v>
      </c>
      <c r="J1550" s="675">
        <f t="shared" si="304"/>
        <v>112.4</v>
      </c>
      <c r="K1550" s="606">
        <f t="shared" si="301"/>
        <v>136.4</v>
      </c>
      <c r="L1550" s="389" t="s">
        <v>21</v>
      </c>
      <c r="M1550" s="30"/>
      <c r="N1550" s="30"/>
      <c r="O1550" s="287">
        <f t="shared" si="302"/>
        <v>0</v>
      </c>
      <c r="P1550" s="287">
        <f t="shared" si="303"/>
        <v>0</v>
      </c>
      <c r="Q1550" s="288"/>
      <c r="R1550" s="243"/>
      <c r="S1550" s="385" t="str">
        <f t="shared" si="305"/>
        <v/>
      </c>
    </row>
    <row r="1551" spans="2:19" ht="26.25" hidden="1" thickBot="1">
      <c r="B1551" s="609">
        <v>100561</v>
      </c>
      <c r="C1551" s="610" t="s">
        <v>843</v>
      </c>
      <c r="D1551" s="611" t="s">
        <v>1683</v>
      </c>
      <c r="E1551" s="602"/>
      <c r="F1551" s="603"/>
      <c r="G1551" s="604"/>
      <c r="H1551" s="605"/>
      <c r="I1551" s="675">
        <v>206.89</v>
      </c>
      <c r="J1551" s="675">
        <f t="shared" si="304"/>
        <v>206.89</v>
      </c>
      <c r="K1551" s="606">
        <f t="shared" si="301"/>
        <v>251.06</v>
      </c>
      <c r="L1551" s="389" t="s">
        <v>21</v>
      </c>
      <c r="M1551" s="30"/>
      <c r="N1551" s="30"/>
      <c r="O1551" s="287">
        <f t="shared" si="302"/>
        <v>0</v>
      </c>
      <c r="P1551" s="287">
        <f t="shared" si="303"/>
        <v>0</v>
      </c>
      <c r="Q1551" s="288"/>
      <c r="R1551" s="243"/>
      <c r="S1551" s="385" t="str">
        <f t="shared" si="305"/>
        <v/>
      </c>
    </row>
    <row r="1552" spans="2:19" ht="26.25" hidden="1" thickBot="1">
      <c r="B1552" s="609">
        <v>100562</v>
      </c>
      <c r="C1552" s="610" t="s">
        <v>843</v>
      </c>
      <c r="D1552" s="611" t="s">
        <v>1684</v>
      </c>
      <c r="E1552" s="602"/>
      <c r="F1552" s="603"/>
      <c r="G1552" s="604"/>
      <c r="H1552" s="605"/>
      <c r="I1552" s="675">
        <v>320.70999999999998</v>
      </c>
      <c r="J1552" s="675">
        <f t="shared" si="304"/>
        <v>320.70999999999998</v>
      </c>
      <c r="K1552" s="606">
        <f t="shared" si="301"/>
        <v>389.18</v>
      </c>
      <c r="L1552" s="389" t="s">
        <v>21</v>
      </c>
      <c r="M1552" s="30"/>
      <c r="N1552" s="30"/>
      <c r="O1552" s="287">
        <f t="shared" si="302"/>
        <v>0</v>
      </c>
      <c r="P1552" s="287">
        <f t="shared" si="303"/>
        <v>0</v>
      </c>
      <c r="Q1552" s="288"/>
      <c r="R1552" s="243"/>
      <c r="S1552" s="385" t="str">
        <f t="shared" si="305"/>
        <v/>
      </c>
    </row>
    <row r="1553" spans="2:19" ht="26.25" hidden="1" thickBot="1">
      <c r="B1553" s="609">
        <v>100563</v>
      </c>
      <c r="C1553" s="610" t="s">
        <v>843</v>
      </c>
      <c r="D1553" s="611" t="s">
        <v>1685</v>
      </c>
      <c r="E1553" s="602"/>
      <c r="F1553" s="603"/>
      <c r="G1553" s="604"/>
      <c r="H1553" s="605"/>
      <c r="I1553" s="675">
        <v>462.44</v>
      </c>
      <c r="J1553" s="675">
        <f t="shared" si="304"/>
        <v>462.44</v>
      </c>
      <c r="K1553" s="606">
        <f t="shared" ref="K1553:K1611" si="306">IF(ISBLANK(I1553),0,ROUND(J1553*(1+$F$10)*(1+$F$11*E1553),2))</f>
        <v>561.16999999999996</v>
      </c>
      <c r="L1553" s="389" t="s">
        <v>21</v>
      </c>
      <c r="M1553" s="30"/>
      <c r="N1553" s="30"/>
      <c r="O1553" s="287">
        <f t="shared" ref="O1553:O1611" si="307">IF(ISBLANK(M1553),0,ROUND(K1553*M1553,2))</f>
        <v>0</v>
      </c>
      <c r="P1553" s="287">
        <f t="shared" ref="P1553:P1611" si="308">IF(ISBLANK(N1553),0,ROUND(M1553*N1553,2))</f>
        <v>0</v>
      </c>
      <c r="Q1553" s="288"/>
      <c r="R1553" s="243"/>
      <c r="S1553" s="385" t="str">
        <f t="shared" si="305"/>
        <v/>
      </c>
    </row>
    <row r="1554" spans="2:19" ht="26.25" hidden="1" thickBot="1">
      <c r="B1554" s="609">
        <v>100556</v>
      </c>
      <c r="C1554" s="610" t="s">
        <v>843</v>
      </c>
      <c r="D1554" s="611" t="s">
        <v>1686</v>
      </c>
      <c r="E1554" s="602"/>
      <c r="F1554" s="603"/>
      <c r="G1554" s="604"/>
      <c r="H1554" s="605"/>
      <c r="I1554" s="675">
        <v>41.57</v>
      </c>
      <c r="J1554" s="675">
        <f t="shared" si="304"/>
        <v>41.57</v>
      </c>
      <c r="K1554" s="606">
        <f t="shared" si="306"/>
        <v>50.45</v>
      </c>
      <c r="L1554" s="389" t="s">
        <v>21</v>
      </c>
      <c r="M1554" s="30"/>
      <c r="N1554" s="30"/>
      <c r="O1554" s="287">
        <f t="shared" si="307"/>
        <v>0</v>
      </c>
      <c r="P1554" s="287">
        <f t="shared" si="308"/>
        <v>0</v>
      </c>
      <c r="Q1554" s="288"/>
      <c r="R1554" s="243"/>
      <c r="S1554" s="385" t="str">
        <f t="shared" si="305"/>
        <v/>
      </c>
    </row>
    <row r="1555" spans="2:19" ht="26.25" hidden="1" thickBot="1">
      <c r="B1555" s="609">
        <v>100557</v>
      </c>
      <c r="C1555" s="610" t="s">
        <v>843</v>
      </c>
      <c r="D1555" s="611" t="s">
        <v>1687</v>
      </c>
      <c r="E1555" s="602"/>
      <c r="F1555" s="603"/>
      <c r="G1555" s="604"/>
      <c r="H1555" s="605"/>
      <c r="I1555" s="675">
        <v>532.6</v>
      </c>
      <c r="J1555" s="675">
        <f t="shared" si="304"/>
        <v>532.6</v>
      </c>
      <c r="K1555" s="606">
        <f t="shared" si="306"/>
        <v>646.30999999999995</v>
      </c>
      <c r="L1555" s="389" t="s">
        <v>21</v>
      </c>
      <c r="M1555" s="30"/>
      <c r="N1555" s="30"/>
      <c r="O1555" s="287">
        <f t="shared" si="307"/>
        <v>0</v>
      </c>
      <c r="P1555" s="287">
        <f t="shared" si="308"/>
        <v>0</v>
      </c>
      <c r="Q1555" s="288"/>
      <c r="R1555" s="243"/>
      <c r="S1555" s="385" t="str">
        <f t="shared" si="305"/>
        <v/>
      </c>
    </row>
    <row r="1556" spans="2:19" ht="26.25" hidden="1" thickBot="1">
      <c r="B1556" s="609">
        <v>98294</v>
      </c>
      <c r="C1556" s="610" t="s">
        <v>843</v>
      </c>
      <c r="D1556" s="611" t="s">
        <v>1688</v>
      </c>
      <c r="E1556" s="602"/>
      <c r="F1556" s="603"/>
      <c r="G1556" s="604"/>
      <c r="H1556" s="605"/>
      <c r="I1556" s="675">
        <v>2.0299999999999998</v>
      </c>
      <c r="J1556" s="675">
        <f t="shared" si="304"/>
        <v>2.0299999999999998</v>
      </c>
      <c r="K1556" s="606">
        <f t="shared" si="306"/>
        <v>2.46</v>
      </c>
      <c r="L1556" s="389" t="s">
        <v>19</v>
      </c>
      <c r="M1556" s="30"/>
      <c r="N1556" s="30"/>
      <c r="O1556" s="287">
        <f t="shared" si="307"/>
        <v>0</v>
      </c>
      <c r="P1556" s="287">
        <f t="shared" si="308"/>
        <v>0</v>
      </c>
      <c r="Q1556" s="288"/>
      <c r="R1556" s="243"/>
      <c r="S1556" s="385" t="str">
        <f t="shared" si="305"/>
        <v/>
      </c>
    </row>
    <row r="1557" spans="2:19" ht="26.25" hidden="1" thickBot="1">
      <c r="B1557" s="609">
        <v>98295</v>
      </c>
      <c r="C1557" s="610" t="s">
        <v>843</v>
      </c>
      <c r="D1557" s="611" t="s">
        <v>1689</v>
      </c>
      <c r="E1557" s="602"/>
      <c r="F1557" s="603"/>
      <c r="G1557" s="604"/>
      <c r="H1557" s="605"/>
      <c r="I1557" s="675">
        <v>1.4</v>
      </c>
      <c r="J1557" s="675">
        <f t="shared" si="304"/>
        <v>1.4</v>
      </c>
      <c r="K1557" s="606">
        <f t="shared" si="306"/>
        <v>1.7</v>
      </c>
      <c r="L1557" s="389" t="s">
        <v>19</v>
      </c>
      <c r="M1557" s="30"/>
      <c r="N1557" s="30"/>
      <c r="O1557" s="287">
        <f t="shared" si="307"/>
        <v>0</v>
      </c>
      <c r="P1557" s="287">
        <f t="shared" si="308"/>
        <v>0</v>
      </c>
      <c r="Q1557" s="288"/>
      <c r="R1557" s="243"/>
      <c r="S1557" s="385" t="str">
        <f t="shared" si="305"/>
        <v/>
      </c>
    </row>
    <row r="1558" spans="2:19" ht="26.25" hidden="1" thickBot="1">
      <c r="B1558" s="609">
        <v>98296</v>
      </c>
      <c r="C1558" s="610" t="s">
        <v>843</v>
      </c>
      <c r="D1558" s="611" t="s">
        <v>1690</v>
      </c>
      <c r="E1558" s="602"/>
      <c r="F1558" s="603"/>
      <c r="G1558" s="604"/>
      <c r="H1558" s="605"/>
      <c r="I1558" s="675">
        <v>3.13</v>
      </c>
      <c r="J1558" s="675">
        <f t="shared" si="304"/>
        <v>3.13</v>
      </c>
      <c r="K1558" s="606">
        <f t="shared" si="306"/>
        <v>3.8</v>
      </c>
      <c r="L1558" s="389" t="s">
        <v>19</v>
      </c>
      <c r="M1558" s="30"/>
      <c r="N1558" s="30"/>
      <c r="O1558" s="287">
        <f t="shared" si="307"/>
        <v>0</v>
      </c>
      <c r="P1558" s="287">
        <f t="shared" si="308"/>
        <v>0</v>
      </c>
      <c r="Q1558" s="288"/>
      <c r="R1558" s="243"/>
      <c r="S1558" s="385" t="str">
        <f t="shared" si="305"/>
        <v/>
      </c>
    </row>
    <row r="1559" spans="2:19" ht="26.25" hidden="1" thickBot="1">
      <c r="B1559" s="609">
        <v>98297</v>
      </c>
      <c r="C1559" s="610" t="s">
        <v>843</v>
      </c>
      <c r="D1559" s="611" t="s">
        <v>1691</v>
      </c>
      <c r="E1559" s="602"/>
      <c r="F1559" s="603"/>
      <c r="G1559" s="604"/>
      <c r="H1559" s="605"/>
      <c r="I1559" s="675">
        <v>2.12</v>
      </c>
      <c r="J1559" s="675">
        <f t="shared" si="304"/>
        <v>2.12</v>
      </c>
      <c r="K1559" s="606">
        <f t="shared" si="306"/>
        <v>2.57</v>
      </c>
      <c r="L1559" s="389" t="s">
        <v>19</v>
      </c>
      <c r="M1559" s="30"/>
      <c r="N1559" s="30"/>
      <c r="O1559" s="287">
        <f t="shared" si="307"/>
        <v>0</v>
      </c>
      <c r="P1559" s="287">
        <f t="shared" si="308"/>
        <v>0</v>
      </c>
      <c r="Q1559" s="288"/>
      <c r="R1559" s="243"/>
      <c r="S1559" s="385" t="str">
        <f t="shared" si="305"/>
        <v/>
      </c>
    </row>
    <row r="1560" spans="2:19" ht="13.5" hidden="1" thickBot="1">
      <c r="B1560" s="609">
        <v>98301</v>
      </c>
      <c r="C1560" s="610" t="s">
        <v>843</v>
      </c>
      <c r="D1560" s="611" t="s">
        <v>1692</v>
      </c>
      <c r="E1560" s="602"/>
      <c r="F1560" s="603"/>
      <c r="G1560" s="604"/>
      <c r="H1560" s="605"/>
      <c r="I1560" s="675">
        <v>476.02</v>
      </c>
      <c r="J1560" s="675">
        <f t="shared" si="304"/>
        <v>476.02</v>
      </c>
      <c r="K1560" s="606">
        <f t="shared" si="306"/>
        <v>577.65</v>
      </c>
      <c r="L1560" s="389" t="s">
        <v>21</v>
      </c>
      <c r="M1560" s="30"/>
      <c r="N1560" s="30"/>
      <c r="O1560" s="287">
        <f t="shared" si="307"/>
        <v>0</v>
      </c>
      <c r="P1560" s="287">
        <f t="shared" si="308"/>
        <v>0</v>
      </c>
      <c r="Q1560" s="288"/>
      <c r="R1560" s="243"/>
      <c r="S1560" s="385" t="str">
        <f t="shared" si="305"/>
        <v/>
      </c>
    </row>
    <row r="1561" spans="2:19" ht="13.5" hidden="1" thickBot="1">
      <c r="B1561" s="609">
        <v>98302</v>
      </c>
      <c r="C1561" s="610" t="s">
        <v>843</v>
      </c>
      <c r="D1561" s="611" t="s">
        <v>1693</v>
      </c>
      <c r="E1561" s="602"/>
      <c r="F1561" s="603"/>
      <c r="G1561" s="604"/>
      <c r="H1561" s="605"/>
      <c r="I1561" s="675">
        <v>622.38</v>
      </c>
      <c r="J1561" s="675">
        <f t="shared" si="304"/>
        <v>622.38</v>
      </c>
      <c r="K1561" s="606">
        <f t="shared" si="306"/>
        <v>755.26</v>
      </c>
      <c r="L1561" s="389" t="s">
        <v>21</v>
      </c>
      <c r="M1561" s="30"/>
      <c r="N1561" s="30"/>
      <c r="O1561" s="287">
        <f t="shared" si="307"/>
        <v>0</v>
      </c>
      <c r="P1561" s="287">
        <f t="shared" si="308"/>
        <v>0</v>
      </c>
      <c r="Q1561" s="288"/>
      <c r="R1561" s="243"/>
      <c r="S1561" s="385" t="str">
        <f t="shared" si="305"/>
        <v/>
      </c>
    </row>
    <row r="1562" spans="2:19" ht="13.5" hidden="1" thickBot="1">
      <c r="B1562" s="609">
        <v>98304</v>
      </c>
      <c r="C1562" s="610" t="s">
        <v>843</v>
      </c>
      <c r="D1562" s="611" t="s">
        <v>1694</v>
      </c>
      <c r="E1562" s="602"/>
      <c r="F1562" s="603"/>
      <c r="G1562" s="604"/>
      <c r="H1562" s="605"/>
      <c r="I1562" s="675">
        <v>1017.59</v>
      </c>
      <c r="J1562" s="675">
        <f t="shared" si="304"/>
        <v>1017.59</v>
      </c>
      <c r="K1562" s="606">
        <f t="shared" si="306"/>
        <v>1234.8499999999999</v>
      </c>
      <c r="L1562" s="389" t="s">
        <v>21</v>
      </c>
      <c r="M1562" s="30"/>
      <c r="N1562" s="30"/>
      <c r="O1562" s="287">
        <f t="shared" si="307"/>
        <v>0</v>
      </c>
      <c r="P1562" s="287">
        <f t="shared" si="308"/>
        <v>0</v>
      </c>
      <c r="Q1562" s="288"/>
      <c r="R1562" s="243"/>
      <c r="S1562" s="385" t="str">
        <f t="shared" si="305"/>
        <v/>
      </c>
    </row>
    <row r="1563" spans="2:19" ht="13.5" hidden="1" thickBot="1">
      <c r="B1563" s="609">
        <v>98307</v>
      </c>
      <c r="C1563" s="610" t="s">
        <v>843</v>
      </c>
      <c r="D1563" s="611" t="s">
        <v>1695</v>
      </c>
      <c r="E1563" s="602"/>
      <c r="F1563" s="603"/>
      <c r="G1563" s="604"/>
      <c r="H1563" s="605"/>
      <c r="I1563" s="675">
        <v>46.22</v>
      </c>
      <c r="J1563" s="675">
        <f t="shared" si="304"/>
        <v>46.22</v>
      </c>
      <c r="K1563" s="606">
        <f t="shared" si="306"/>
        <v>56.09</v>
      </c>
      <c r="L1563" s="389" t="s">
        <v>21</v>
      </c>
      <c r="M1563" s="30"/>
      <c r="N1563" s="30"/>
      <c r="O1563" s="287">
        <f t="shared" si="307"/>
        <v>0</v>
      </c>
      <c r="P1563" s="287">
        <f t="shared" si="308"/>
        <v>0</v>
      </c>
      <c r="Q1563" s="288"/>
      <c r="R1563" s="243"/>
      <c r="S1563" s="385" t="str">
        <f t="shared" si="305"/>
        <v/>
      </c>
    </row>
    <row r="1564" spans="2:19" ht="13.5" hidden="1" thickBot="1">
      <c r="B1564" s="609">
        <v>98308</v>
      </c>
      <c r="C1564" s="610" t="s">
        <v>843</v>
      </c>
      <c r="D1564" s="611" t="s">
        <v>1696</v>
      </c>
      <c r="E1564" s="602"/>
      <c r="F1564" s="603"/>
      <c r="G1564" s="604"/>
      <c r="H1564" s="605"/>
      <c r="I1564" s="675">
        <v>30.21</v>
      </c>
      <c r="J1564" s="675">
        <f t="shared" ref="J1564:J1610" si="309">IF(ISBLANK(I1564),"",SUM(H1564:I1564))</f>
        <v>30.21</v>
      </c>
      <c r="K1564" s="606">
        <f t="shared" si="306"/>
        <v>36.659999999999997</v>
      </c>
      <c r="L1564" s="389" t="s">
        <v>21</v>
      </c>
      <c r="M1564" s="30"/>
      <c r="N1564" s="30"/>
      <c r="O1564" s="287">
        <f t="shared" si="307"/>
        <v>0</v>
      </c>
      <c r="P1564" s="287">
        <f t="shared" si="308"/>
        <v>0</v>
      </c>
      <c r="Q1564" s="288"/>
      <c r="R1564" s="243"/>
      <c r="S1564" s="385" t="str">
        <f t="shared" si="305"/>
        <v/>
      </c>
    </row>
    <row r="1565" spans="2:19" ht="13.5" hidden="1" thickBot="1">
      <c r="B1565" s="609">
        <v>98593</v>
      </c>
      <c r="C1565" s="610" t="s">
        <v>843</v>
      </c>
      <c r="D1565" s="611" t="s">
        <v>1697</v>
      </c>
      <c r="E1565" s="602"/>
      <c r="F1565" s="603"/>
      <c r="G1565" s="604"/>
      <c r="H1565" s="605"/>
      <c r="I1565" s="675">
        <v>842.77</v>
      </c>
      <c r="J1565" s="675">
        <f t="shared" si="309"/>
        <v>842.77</v>
      </c>
      <c r="K1565" s="606">
        <f t="shared" si="306"/>
        <v>1022.7</v>
      </c>
      <c r="L1565" s="389" t="s">
        <v>21</v>
      </c>
      <c r="M1565" s="30"/>
      <c r="N1565" s="30"/>
      <c r="O1565" s="287">
        <f t="shared" si="307"/>
        <v>0</v>
      </c>
      <c r="P1565" s="287">
        <f t="shared" si="308"/>
        <v>0</v>
      </c>
      <c r="Q1565" s="288"/>
      <c r="R1565" s="243"/>
      <c r="S1565" s="385" t="str">
        <f t="shared" si="305"/>
        <v/>
      </c>
    </row>
    <row r="1566" spans="2:19" ht="26.25" hidden="1" thickBot="1">
      <c r="B1566" s="609">
        <v>98400</v>
      </c>
      <c r="C1566" s="610" t="s">
        <v>843</v>
      </c>
      <c r="D1566" s="611" t="s">
        <v>1698</v>
      </c>
      <c r="E1566" s="602"/>
      <c r="F1566" s="603"/>
      <c r="G1566" s="604"/>
      <c r="H1566" s="605"/>
      <c r="I1566" s="675">
        <v>11.35</v>
      </c>
      <c r="J1566" s="675">
        <f t="shared" si="309"/>
        <v>11.35</v>
      </c>
      <c r="K1566" s="606">
        <f t="shared" si="306"/>
        <v>13.77</v>
      </c>
      <c r="L1566" s="389" t="s">
        <v>19</v>
      </c>
      <c r="M1566" s="30"/>
      <c r="N1566" s="30"/>
      <c r="O1566" s="287">
        <f t="shared" si="307"/>
        <v>0</v>
      </c>
      <c r="P1566" s="287">
        <f t="shared" si="308"/>
        <v>0</v>
      </c>
      <c r="Q1566" s="288"/>
      <c r="R1566" s="243"/>
      <c r="S1566" s="385" t="str">
        <f t="shared" si="305"/>
        <v/>
      </c>
    </row>
    <row r="1567" spans="2:19" ht="26.25" hidden="1" thickBot="1">
      <c r="B1567" s="609">
        <v>98401</v>
      </c>
      <c r="C1567" s="610" t="s">
        <v>843</v>
      </c>
      <c r="D1567" s="611" t="s">
        <v>1699</v>
      </c>
      <c r="E1567" s="602"/>
      <c r="F1567" s="603"/>
      <c r="G1567" s="604"/>
      <c r="H1567" s="605"/>
      <c r="I1567" s="675">
        <v>17.27</v>
      </c>
      <c r="J1567" s="675">
        <f t="shared" si="309"/>
        <v>17.27</v>
      </c>
      <c r="K1567" s="606">
        <f t="shared" si="306"/>
        <v>20.96</v>
      </c>
      <c r="L1567" s="389" t="s">
        <v>19</v>
      </c>
      <c r="M1567" s="30"/>
      <c r="N1567" s="30"/>
      <c r="O1567" s="287">
        <f t="shared" si="307"/>
        <v>0</v>
      </c>
      <c r="P1567" s="287">
        <f t="shared" si="308"/>
        <v>0</v>
      </c>
      <c r="Q1567" s="288"/>
      <c r="R1567" s="243"/>
      <c r="S1567" s="385" t="str">
        <f t="shared" si="305"/>
        <v/>
      </c>
    </row>
    <row r="1568" spans="2:19" ht="26.25" hidden="1" thickBot="1">
      <c r="B1568" s="609">
        <v>98402</v>
      </c>
      <c r="C1568" s="610" t="s">
        <v>843</v>
      </c>
      <c r="D1568" s="611" t="s">
        <v>1700</v>
      </c>
      <c r="E1568" s="602"/>
      <c r="F1568" s="603"/>
      <c r="G1568" s="604"/>
      <c r="H1568" s="605"/>
      <c r="I1568" s="675">
        <v>22.22</v>
      </c>
      <c r="J1568" s="675">
        <f t="shared" si="309"/>
        <v>22.22</v>
      </c>
      <c r="K1568" s="606">
        <f t="shared" si="306"/>
        <v>26.96</v>
      </c>
      <c r="L1568" s="389" t="s">
        <v>19</v>
      </c>
      <c r="M1568" s="30"/>
      <c r="N1568" s="30"/>
      <c r="O1568" s="287">
        <f t="shared" si="307"/>
        <v>0</v>
      </c>
      <c r="P1568" s="287">
        <f t="shared" si="308"/>
        <v>0</v>
      </c>
      <c r="Q1568" s="288"/>
      <c r="R1568" s="243"/>
      <c r="S1568" s="385" t="str">
        <f t="shared" si="305"/>
        <v/>
      </c>
    </row>
    <row r="1569" spans="2:19" ht="26.25" hidden="1" thickBot="1">
      <c r="B1569" s="609">
        <v>98267</v>
      </c>
      <c r="C1569" s="610" t="s">
        <v>843</v>
      </c>
      <c r="D1569" s="611" t="s">
        <v>1701</v>
      </c>
      <c r="E1569" s="602"/>
      <c r="F1569" s="603"/>
      <c r="G1569" s="604"/>
      <c r="H1569" s="605"/>
      <c r="I1569" s="675">
        <v>9.69</v>
      </c>
      <c r="J1569" s="675">
        <f t="shared" si="309"/>
        <v>9.69</v>
      </c>
      <c r="K1569" s="606">
        <f t="shared" si="306"/>
        <v>11.76</v>
      </c>
      <c r="L1569" s="389" t="s">
        <v>19</v>
      </c>
      <c r="M1569" s="30"/>
      <c r="N1569" s="30"/>
      <c r="O1569" s="287">
        <f t="shared" si="307"/>
        <v>0</v>
      </c>
      <c r="P1569" s="287">
        <f t="shared" si="308"/>
        <v>0</v>
      </c>
      <c r="Q1569" s="288"/>
      <c r="R1569" s="243"/>
      <c r="S1569" s="385" t="str">
        <f t="shared" si="305"/>
        <v/>
      </c>
    </row>
    <row r="1570" spans="2:19" ht="26.25" hidden="1" thickBot="1">
      <c r="B1570" s="609">
        <v>98268</v>
      </c>
      <c r="C1570" s="610" t="s">
        <v>843</v>
      </c>
      <c r="D1570" s="611" t="s">
        <v>1702</v>
      </c>
      <c r="E1570" s="602"/>
      <c r="F1570" s="603"/>
      <c r="G1570" s="604"/>
      <c r="H1570" s="605"/>
      <c r="I1570" s="675">
        <v>15.47</v>
      </c>
      <c r="J1570" s="675">
        <f t="shared" si="309"/>
        <v>15.47</v>
      </c>
      <c r="K1570" s="606">
        <f t="shared" si="306"/>
        <v>18.77</v>
      </c>
      <c r="L1570" s="389" t="s">
        <v>19</v>
      </c>
      <c r="M1570" s="30"/>
      <c r="N1570" s="30"/>
      <c r="O1570" s="287">
        <f t="shared" si="307"/>
        <v>0</v>
      </c>
      <c r="P1570" s="287">
        <f t="shared" si="308"/>
        <v>0</v>
      </c>
      <c r="Q1570" s="288"/>
      <c r="R1570" s="243"/>
      <c r="S1570" s="385" t="str">
        <f t="shared" si="305"/>
        <v/>
      </c>
    </row>
    <row r="1571" spans="2:19" ht="26.25" hidden="1" thickBot="1">
      <c r="B1571" s="609">
        <v>98269</v>
      </c>
      <c r="C1571" s="610" t="s">
        <v>843</v>
      </c>
      <c r="D1571" s="611" t="s">
        <v>1703</v>
      </c>
      <c r="E1571" s="602"/>
      <c r="F1571" s="603"/>
      <c r="G1571" s="604"/>
      <c r="H1571" s="605"/>
      <c r="I1571" s="675">
        <v>19.84</v>
      </c>
      <c r="J1571" s="675">
        <f t="shared" si="309"/>
        <v>19.84</v>
      </c>
      <c r="K1571" s="606">
        <f t="shared" si="306"/>
        <v>24.08</v>
      </c>
      <c r="L1571" s="389" t="s">
        <v>19</v>
      </c>
      <c r="M1571" s="30"/>
      <c r="N1571" s="30"/>
      <c r="O1571" s="287">
        <f t="shared" si="307"/>
        <v>0</v>
      </c>
      <c r="P1571" s="287">
        <f t="shared" si="308"/>
        <v>0</v>
      </c>
      <c r="Q1571" s="288"/>
      <c r="R1571" s="243"/>
      <c r="S1571" s="385" t="str">
        <f t="shared" si="305"/>
        <v/>
      </c>
    </row>
    <row r="1572" spans="2:19" ht="26.25" hidden="1" thickBot="1">
      <c r="B1572" s="609">
        <v>98270</v>
      </c>
      <c r="C1572" s="610" t="s">
        <v>843</v>
      </c>
      <c r="D1572" s="611" t="s">
        <v>1704</v>
      </c>
      <c r="E1572" s="602"/>
      <c r="F1572" s="603"/>
      <c r="G1572" s="604"/>
      <c r="H1572" s="605"/>
      <c r="I1572" s="675">
        <v>31.79</v>
      </c>
      <c r="J1572" s="675">
        <f t="shared" si="309"/>
        <v>31.79</v>
      </c>
      <c r="K1572" s="606">
        <f t="shared" si="306"/>
        <v>38.58</v>
      </c>
      <c r="L1572" s="389" t="s">
        <v>19</v>
      </c>
      <c r="M1572" s="30"/>
      <c r="N1572" s="30"/>
      <c r="O1572" s="287">
        <f t="shared" si="307"/>
        <v>0</v>
      </c>
      <c r="P1572" s="287">
        <f t="shared" si="308"/>
        <v>0</v>
      </c>
      <c r="Q1572" s="288"/>
      <c r="R1572" s="243"/>
      <c r="S1572" s="385" t="str">
        <f t="shared" si="305"/>
        <v/>
      </c>
    </row>
    <row r="1573" spans="2:19" ht="26.25" hidden="1" thickBot="1">
      <c r="B1573" s="609">
        <v>98271</v>
      </c>
      <c r="C1573" s="610" t="s">
        <v>843</v>
      </c>
      <c r="D1573" s="611" t="s">
        <v>1705</v>
      </c>
      <c r="E1573" s="602"/>
      <c r="F1573" s="603"/>
      <c r="G1573" s="604"/>
      <c r="H1573" s="605"/>
      <c r="I1573" s="675">
        <v>48.89</v>
      </c>
      <c r="J1573" s="675">
        <f t="shared" si="309"/>
        <v>48.89</v>
      </c>
      <c r="K1573" s="606">
        <f t="shared" si="306"/>
        <v>59.33</v>
      </c>
      <c r="L1573" s="389" t="s">
        <v>19</v>
      </c>
      <c r="M1573" s="30"/>
      <c r="N1573" s="30"/>
      <c r="O1573" s="287">
        <f t="shared" si="307"/>
        <v>0</v>
      </c>
      <c r="P1573" s="287">
        <f t="shared" si="308"/>
        <v>0</v>
      </c>
      <c r="Q1573" s="288"/>
      <c r="R1573" s="243"/>
      <c r="S1573" s="385" t="str">
        <f t="shared" si="305"/>
        <v/>
      </c>
    </row>
    <row r="1574" spans="2:19" ht="26.25" hidden="1" thickBot="1">
      <c r="B1574" s="609">
        <v>98272</v>
      </c>
      <c r="C1574" s="610" t="s">
        <v>843</v>
      </c>
      <c r="D1574" s="611" t="s">
        <v>1706</v>
      </c>
      <c r="E1574" s="602"/>
      <c r="F1574" s="603"/>
      <c r="G1574" s="604"/>
      <c r="H1574" s="605"/>
      <c r="I1574" s="675">
        <v>113.61</v>
      </c>
      <c r="J1574" s="675">
        <f t="shared" si="309"/>
        <v>113.61</v>
      </c>
      <c r="K1574" s="606">
        <f t="shared" si="306"/>
        <v>137.87</v>
      </c>
      <c r="L1574" s="389" t="s">
        <v>19</v>
      </c>
      <c r="M1574" s="30"/>
      <c r="N1574" s="30"/>
      <c r="O1574" s="287">
        <f t="shared" si="307"/>
        <v>0</v>
      </c>
      <c r="P1574" s="287">
        <f t="shared" si="308"/>
        <v>0</v>
      </c>
      <c r="Q1574" s="288"/>
      <c r="R1574" s="243"/>
      <c r="S1574" s="385" t="str">
        <f t="shared" si="305"/>
        <v/>
      </c>
    </row>
    <row r="1575" spans="2:19" ht="13.5" hidden="1" thickBot="1">
      <c r="B1575" s="609">
        <v>98276</v>
      </c>
      <c r="C1575" s="610" t="s">
        <v>843</v>
      </c>
      <c r="D1575" s="611" t="s">
        <v>1707</v>
      </c>
      <c r="E1575" s="602"/>
      <c r="F1575" s="603"/>
      <c r="G1575" s="604"/>
      <c r="H1575" s="605"/>
      <c r="I1575" s="675">
        <v>6.98</v>
      </c>
      <c r="J1575" s="675">
        <f t="shared" si="309"/>
        <v>6.98</v>
      </c>
      <c r="K1575" s="606">
        <f t="shared" si="306"/>
        <v>8.4700000000000006</v>
      </c>
      <c r="L1575" s="389" t="s">
        <v>19</v>
      </c>
      <c r="M1575" s="30"/>
      <c r="N1575" s="30"/>
      <c r="O1575" s="287">
        <f t="shared" si="307"/>
        <v>0</v>
      </c>
      <c r="P1575" s="287">
        <f t="shared" si="308"/>
        <v>0</v>
      </c>
      <c r="Q1575" s="288"/>
      <c r="R1575" s="243"/>
      <c r="S1575" s="385" t="str">
        <f t="shared" si="305"/>
        <v/>
      </c>
    </row>
    <row r="1576" spans="2:19" ht="13.5" hidden="1" thickBot="1">
      <c r="B1576" s="609">
        <v>98277</v>
      </c>
      <c r="C1576" s="610" t="s">
        <v>843</v>
      </c>
      <c r="D1576" s="611" t="s">
        <v>1708</v>
      </c>
      <c r="E1576" s="602"/>
      <c r="F1576" s="603"/>
      <c r="G1576" s="604"/>
      <c r="H1576" s="605"/>
      <c r="I1576" s="675">
        <v>12.76</v>
      </c>
      <c r="J1576" s="675">
        <f t="shared" si="309"/>
        <v>12.76</v>
      </c>
      <c r="K1576" s="606">
        <f t="shared" si="306"/>
        <v>15.48</v>
      </c>
      <c r="L1576" s="389" t="s">
        <v>19</v>
      </c>
      <c r="M1576" s="30"/>
      <c r="N1576" s="30"/>
      <c r="O1576" s="287">
        <f t="shared" si="307"/>
        <v>0</v>
      </c>
      <c r="P1576" s="287">
        <f t="shared" si="308"/>
        <v>0</v>
      </c>
      <c r="Q1576" s="288"/>
      <c r="R1576" s="243"/>
      <c r="S1576" s="385" t="str">
        <f t="shared" si="305"/>
        <v/>
      </c>
    </row>
    <row r="1577" spans="2:19" ht="13.5" hidden="1" thickBot="1">
      <c r="B1577" s="609">
        <v>98278</v>
      </c>
      <c r="C1577" s="610" t="s">
        <v>843</v>
      </c>
      <c r="D1577" s="611" t="s">
        <v>1709</v>
      </c>
      <c r="E1577" s="602"/>
      <c r="F1577" s="603"/>
      <c r="G1577" s="604"/>
      <c r="H1577" s="605"/>
      <c r="I1577" s="675">
        <v>17.13</v>
      </c>
      <c r="J1577" s="675">
        <f t="shared" si="309"/>
        <v>17.13</v>
      </c>
      <c r="K1577" s="606">
        <f t="shared" si="306"/>
        <v>20.79</v>
      </c>
      <c r="L1577" s="389" t="s">
        <v>19</v>
      </c>
      <c r="M1577" s="30"/>
      <c r="N1577" s="30"/>
      <c r="O1577" s="287">
        <f t="shared" si="307"/>
        <v>0</v>
      </c>
      <c r="P1577" s="287">
        <f t="shared" si="308"/>
        <v>0</v>
      </c>
      <c r="Q1577" s="288"/>
      <c r="R1577" s="243"/>
      <c r="S1577" s="385" t="str">
        <f t="shared" si="305"/>
        <v/>
      </c>
    </row>
    <row r="1578" spans="2:19" ht="13.5" hidden="1" thickBot="1">
      <c r="B1578" s="609">
        <v>98279</v>
      </c>
      <c r="C1578" s="610" t="s">
        <v>843</v>
      </c>
      <c r="D1578" s="611" t="s">
        <v>1710</v>
      </c>
      <c r="E1578" s="602"/>
      <c r="F1578" s="603"/>
      <c r="G1578" s="604"/>
      <c r="H1578" s="605"/>
      <c r="I1578" s="675">
        <v>29.08</v>
      </c>
      <c r="J1578" s="675">
        <f t="shared" si="309"/>
        <v>29.08</v>
      </c>
      <c r="K1578" s="606">
        <f t="shared" si="306"/>
        <v>35.29</v>
      </c>
      <c r="L1578" s="389" t="s">
        <v>19</v>
      </c>
      <c r="M1578" s="30"/>
      <c r="N1578" s="30"/>
      <c r="O1578" s="287">
        <f t="shared" si="307"/>
        <v>0</v>
      </c>
      <c r="P1578" s="287">
        <f t="shared" si="308"/>
        <v>0</v>
      </c>
      <c r="Q1578" s="288"/>
      <c r="R1578" s="243"/>
      <c r="S1578" s="385" t="str">
        <f t="shared" si="305"/>
        <v/>
      </c>
    </row>
    <row r="1579" spans="2:19" ht="26.25" hidden="1" thickBot="1">
      <c r="B1579" s="609">
        <v>98286</v>
      </c>
      <c r="C1579" s="610" t="s">
        <v>843</v>
      </c>
      <c r="D1579" s="611" t="s">
        <v>1711</v>
      </c>
      <c r="E1579" s="602"/>
      <c r="F1579" s="603"/>
      <c r="G1579" s="604"/>
      <c r="H1579" s="605"/>
      <c r="I1579" s="675">
        <v>13.18</v>
      </c>
      <c r="J1579" s="675">
        <f t="shared" si="309"/>
        <v>13.18</v>
      </c>
      <c r="K1579" s="606">
        <f t="shared" si="306"/>
        <v>15.99</v>
      </c>
      <c r="L1579" s="389" t="s">
        <v>19</v>
      </c>
      <c r="M1579" s="30"/>
      <c r="N1579" s="30"/>
      <c r="O1579" s="287">
        <f t="shared" si="307"/>
        <v>0</v>
      </c>
      <c r="P1579" s="287">
        <f t="shared" si="308"/>
        <v>0</v>
      </c>
      <c r="Q1579" s="288"/>
      <c r="R1579" s="243"/>
      <c r="S1579" s="385" t="str">
        <f t="shared" si="305"/>
        <v/>
      </c>
    </row>
    <row r="1580" spans="2:19" ht="26.25" hidden="1" thickBot="1">
      <c r="B1580" s="609">
        <v>98293</v>
      </c>
      <c r="C1580" s="610" t="s">
        <v>843</v>
      </c>
      <c r="D1580" s="611" t="s">
        <v>1712</v>
      </c>
      <c r="E1580" s="602"/>
      <c r="F1580" s="603"/>
      <c r="G1580" s="604"/>
      <c r="H1580" s="605"/>
      <c r="I1580" s="675">
        <v>7.6</v>
      </c>
      <c r="J1580" s="675">
        <f t="shared" si="309"/>
        <v>7.6</v>
      </c>
      <c r="K1580" s="606">
        <f t="shared" si="306"/>
        <v>9.2200000000000006</v>
      </c>
      <c r="L1580" s="389" t="s">
        <v>19</v>
      </c>
      <c r="M1580" s="30"/>
      <c r="N1580" s="30"/>
      <c r="O1580" s="287">
        <f t="shared" si="307"/>
        <v>0</v>
      </c>
      <c r="P1580" s="287">
        <f t="shared" si="308"/>
        <v>0</v>
      </c>
      <c r="Q1580" s="288"/>
      <c r="R1580" s="243"/>
      <c r="S1580" s="385" t="str">
        <f t="shared" si="305"/>
        <v/>
      </c>
    </row>
    <row r="1581" spans="2:19" ht="26.25" hidden="1" thickBot="1">
      <c r="B1581" s="609">
        <v>98261</v>
      </c>
      <c r="C1581" s="610" t="s">
        <v>843</v>
      </c>
      <c r="D1581" s="611" t="s">
        <v>1713</v>
      </c>
      <c r="E1581" s="602"/>
      <c r="F1581" s="603"/>
      <c r="G1581" s="604"/>
      <c r="H1581" s="605"/>
      <c r="I1581" s="675">
        <v>3.28</v>
      </c>
      <c r="J1581" s="675">
        <f t="shared" si="309"/>
        <v>3.28</v>
      </c>
      <c r="K1581" s="606">
        <f t="shared" si="306"/>
        <v>3.98</v>
      </c>
      <c r="L1581" s="389" t="s">
        <v>19</v>
      </c>
      <c r="M1581" s="30"/>
      <c r="N1581" s="30"/>
      <c r="O1581" s="287">
        <f t="shared" si="307"/>
        <v>0</v>
      </c>
      <c r="P1581" s="287">
        <f t="shared" si="308"/>
        <v>0</v>
      </c>
      <c r="Q1581" s="288"/>
      <c r="R1581" s="243"/>
      <c r="S1581" s="385" t="str">
        <f t="shared" si="305"/>
        <v/>
      </c>
    </row>
    <row r="1582" spans="2:19" ht="26.25" hidden="1" thickBot="1">
      <c r="B1582" s="609">
        <v>98262</v>
      </c>
      <c r="C1582" s="610" t="s">
        <v>843</v>
      </c>
      <c r="D1582" s="611" t="s">
        <v>1714</v>
      </c>
      <c r="E1582" s="602"/>
      <c r="F1582" s="603"/>
      <c r="G1582" s="604"/>
      <c r="H1582" s="605"/>
      <c r="I1582" s="675">
        <v>3.8</v>
      </c>
      <c r="J1582" s="675">
        <f t="shared" si="309"/>
        <v>3.8</v>
      </c>
      <c r="K1582" s="606">
        <f t="shared" si="306"/>
        <v>4.6100000000000003</v>
      </c>
      <c r="L1582" s="389" t="s">
        <v>19</v>
      </c>
      <c r="M1582" s="30"/>
      <c r="N1582" s="30"/>
      <c r="O1582" s="287">
        <f t="shared" si="307"/>
        <v>0</v>
      </c>
      <c r="P1582" s="287">
        <f t="shared" si="308"/>
        <v>0</v>
      </c>
      <c r="Q1582" s="288"/>
      <c r="R1582" s="243"/>
      <c r="S1582" s="385" t="str">
        <f t="shared" si="305"/>
        <v/>
      </c>
    </row>
    <row r="1583" spans="2:19" ht="26.25" hidden="1" thickBot="1">
      <c r="B1583" s="609">
        <v>98263</v>
      </c>
      <c r="C1583" s="610" t="s">
        <v>843</v>
      </c>
      <c r="D1583" s="611" t="s">
        <v>1715</v>
      </c>
      <c r="E1583" s="602"/>
      <c r="F1583" s="603"/>
      <c r="G1583" s="604"/>
      <c r="H1583" s="605"/>
      <c r="I1583" s="675">
        <v>4.42</v>
      </c>
      <c r="J1583" s="675">
        <f t="shared" si="309"/>
        <v>4.42</v>
      </c>
      <c r="K1583" s="606">
        <f t="shared" si="306"/>
        <v>5.36</v>
      </c>
      <c r="L1583" s="389" t="s">
        <v>19</v>
      </c>
      <c r="M1583" s="30"/>
      <c r="N1583" s="30"/>
      <c r="O1583" s="287">
        <f t="shared" si="307"/>
        <v>0</v>
      </c>
      <c r="P1583" s="287">
        <f t="shared" si="308"/>
        <v>0</v>
      </c>
      <c r="Q1583" s="288"/>
      <c r="R1583" s="243"/>
      <c r="S1583" s="385" t="str">
        <f t="shared" si="305"/>
        <v/>
      </c>
    </row>
    <row r="1584" spans="2:19" ht="26.25" hidden="1" thickBot="1">
      <c r="B1584" s="609">
        <v>98264</v>
      </c>
      <c r="C1584" s="610" t="s">
        <v>843</v>
      </c>
      <c r="D1584" s="611" t="s">
        <v>1716</v>
      </c>
      <c r="E1584" s="602"/>
      <c r="F1584" s="603"/>
      <c r="G1584" s="604"/>
      <c r="H1584" s="605"/>
      <c r="I1584" s="675">
        <v>4.91</v>
      </c>
      <c r="J1584" s="675">
        <f t="shared" si="309"/>
        <v>4.91</v>
      </c>
      <c r="K1584" s="606">
        <f t="shared" si="306"/>
        <v>5.96</v>
      </c>
      <c r="L1584" s="389" t="s">
        <v>19</v>
      </c>
      <c r="M1584" s="30"/>
      <c r="N1584" s="30"/>
      <c r="O1584" s="287">
        <f t="shared" si="307"/>
        <v>0</v>
      </c>
      <c r="P1584" s="287">
        <f t="shared" si="308"/>
        <v>0</v>
      </c>
      <c r="Q1584" s="288"/>
      <c r="R1584" s="243"/>
      <c r="S1584" s="385" t="str">
        <f t="shared" si="305"/>
        <v/>
      </c>
    </row>
    <row r="1585" spans="2:19" ht="26.25" hidden="1" thickBot="1">
      <c r="B1585" s="609">
        <v>98265</v>
      </c>
      <c r="C1585" s="610" t="s">
        <v>843</v>
      </c>
      <c r="D1585" s="611" t="s">
        <v>1717</v>
      </c>
      <c r="E1585" s="602"/>
      <c r="F1585" s="603"/>
      <c r="G1585" s="604"/>
      <c r="H1585" s="605"/>
      <c r="I1585" s="675">
        <v>5.61</v>
      </c>
      <c r="J1585" s="675">
        <f t="shared" si="309"/>
        <v>5.61</v>
      </c>
      <c r="K1585" s="606">
        <f t="shared" si="306"/>
        <v>6.81</v>
      </c>
      <c r="L1585" s="389" t="s">
        <v>19</v>
      </c>
      <c r="M1585" s="30"/>
      <c r="N1585" s="30"/>
      <c r="O1585" s="287">
        <f t="shared" si="307"/>
        <v>0</v>
      </c>
      <c r="P1585" s="287">
        <f t="shared" si="308"/>
        <v>0</v>
      </c>
      <c r="Q1585" s="288"/>
      <c r="R1585" s="243"/>
      <c r="S1585" s="385" t="str">
        <f t="shared" si="305"/>
        <v/>
      </c>
    </row>
    <row r="1586" spans="2:19" ht="26.25" hidden="1" thickBot="1">
      <c r="B1586" s="609">
        <v>98266</v>
      </c>
      <c r="C1586" s="610" t="s">
        <v>843</v>
      </c>
      <c r="D1586" s="611" t="s">
        <v>1718</v>
      </c>
      <c r="E1586" s="602"/>
      <c r="F1586" s="603"/>
      <c r="G1586" s="604"/>
      <c r="H1586" s="605"/>
      <c r="I1586" s="675">
        <v>6.02</v>
      </c>
      <c r="J1586" s="675">
        <f t="shared" si="309"/>
        <v>6.02</v>
      </c>
      <c r="K1586" s="606">
        <f t="shared" si="306"/>
        <v>7.31</v>
      </c>
      <c r="L1586" s="389" t="s">
        <v>19</v>
      </c>
      <c r="M1586" s="30"/>
      <c r="N1586" s="30"/>
      <c r="O1586" s="287">
        <f t="shared" si="307"/>
        <v>0</v>
      </c>
      <c r="P1586" s="287">
        <f t="shared" si="308"/>
        <v>0</v>
      </c>
      <c r="Q1586" s="288"/>
      <c r="R1586" s="243"/>
      <c r="S1586" s="385" t="str">
        <f t="shared" si="305"/>
        <v/>
      </c>
    </row>
    <row r="1587" spans="2:19" ht="26.25" hidden="1" thickBot="1">
      <c r="B1587" s="609">
        <v>98273</v>
      </c>
      <c r="C1587" s="610" t="s">
        <v>843</v>
      </c>
      <c r="D1587" s="611" t="s">
        <v>1719</v>
      </c>
      <c r="E1587" s="602"/>
      <c r="F1587" s="603"/>
      <c r="G1587" s="604"/>
      <c r="H1587" s="605"/>
      <c r="I1587" s="675">
        <v>2.2000000000000002</v>
      </c>
      <c r="J1587" s="675">
        <f t="shared" si="309"/>
        <v>2.2000000000000002</v>
      </c>
      <c r="K1587" s="606">
        <f t="shared" si="306"/>
        <v>2.67</v>
      </c>
      <c r="L1587" s="389" t="s">
        <v>19</v>
      </c>
      <c r="M1587" s="30"/>
      <c r="N1587" s="30"/>
      <c r="O1587" s="287">
        <f t="shared" si="307"/>
        <v>0</v>
      </c>
      <c r="P1587" s="287">
        <f t="shared" si="308"/>
        <v>0</v>
      </c>
      <c r="Q1587" s="288"/>
      <c r="R1587" s="243"/>
      <c r="S1587" s="385" t="str">
        <f t="shared" si="305"/>
        <v/>
      </c>
    </row>
    <row r="1588" spans="2:19" ht="26.25" hidden="1" thickBot="1">
      <c r="B1588" s="609">
        <v>98274</v>
      </c>
      <c r="C1588" s="610" t="s">
        <v>843</v>
      </c>
      <c r="D1588" s="611" t="s">
        <v>1720</v>
      </c>
      <c r="E1588" s="602"/>
      <c r="F1588" s="603"/>
      <c r="G1588" s="604"/>
      <c r="H1588" s="605"/>
      <c r="I1588" s="675">
        <v>2.9</v>
      </c>
      <c r="J1588" s="675">
        <f t="shared" si="309"/>
        <v>2.9</v>
      </c>
      <c r="K1588" s="606">
        <f t="shared" si="306"/>
        <v>3.52</v>
      </c>
      <c r="L1588" s="389" t="s">
        <v>19</v>
      </c>
      <c r="M1588" s="30"/>
      <c r="N1588" s="30"/>
      <c r="O1588" s="287">
        <f t="shared" si="307"/>
        <v>0</v>
      </c>
      <c r="P1588" s="287">
        <f t="shared" si="308"/>
        <v>0</v>
      </c>
      <c r="Q1588" s="288"/>
      <c r="R1588" s="243"/>
      <c r="S1588" s="385" t="str">
        <f t="shared" si="305"/>
        <v/>
      </c>
    </row>
    <row r="1589" spans="2:19" ht="26.25" hidden="1" thickBot="1">
      <c r="B1589" s="609">
        <v>98275</v>
      </c>
      <c r="C1589" s="610" t="s">
        <v>843</v>
      </c>
      <c r="D1589" s="611" t="s">
        <v>1721</v>
      </c>
      <c r="E1589" s="602"/>
      <c r="F1589" s="603"/>
      <c r="G1589" s="604"/>
      <c r="H1589" s="605"/>
      <c r="I1589" s="675">
        <v>3.31</v>
      </c>
      <c r="J1589" s="675">
        <f t="shared" si="309"/>
        <v>3.31</v>
      </c>
      <c r="K1589" s="606">
        <f t="shared" si="306"/>
        <v>4.0199999999999996</v>
      </c>
      <c r="L1589" s="389" t="s">
        <v>19</v>
      </c>
      <c r="M1589" s="30"/>
      <c r="N1589" s="30"/>
      <c r="O1589" s="287">
        <f t="shared" si="307"/>
        <v>0</v>
      </c>
      <c r="P1589" s="287">
        <f t="shared" si="308"/>
        <v>0</v>
      </c>
      <c r="Q1589" s="288"/>
      <c r="R1589" s="243"/>
      <c r="S1589" s="385" t="str">
        <f t="shared" si="305"/>
        <v/>
      </c>
    </row>
    <row r="1590" spans="2:19" ht="26.25" hidden="1" thickBot="1">
      <c r="B1590" s="609">
        <v>98280</v>
      </c>
      <c r="C1590" s="610" t="s">
        <v>843</v>
      </c>
      <c r="D1590" s="611" t="s">
        <v>1722</v>
      </c>
      <c r="E1590" s="602"/>
      <c r="F1590" s="603"/>
      <c r="G1590" s="604"/>
      <c r="H1590" s="605"/>
      <c r="I1590" s="675">
        <v>6.76</v>
      </c>
      <c r="J1590" s="675">
        <f t="shared" si="309"/>
        <v>6.76</v>
      </c>
      <c r="K1590" s="606">
        <f t="shared" si="306"/>
        <v>8.1999999999999993</v>
      </c>
      <c r="L1590" s="389" t="s">
        <v>19</v>
      </c>
      <c r="M1590" s="30"/>
      <c r="N1590" s="30"/>
      <c r="O1590" s="287">
        <f t="shared" si="307"/>
        <v>0</v>
      </c>
      <c r="P1590" s="287">
        <f t="shared" si="308"/>
        <v>0</v>
      </c>
      <c r="Q1590" s="288"/>
      <c r="R1590" s="243"/>
      <c r="S1590" s="385" t="str">
        <f t="shared" si="305"/>
        <v/>
      </c>
    </row>
    <row r="1591" spans="2:19" ht="26.25" hidden="1" thickBot="1">
      <c r="B1591" s="609">
        <v>98281</v>
      </c>
      <c r="C1591" s="610" t="s">
        <v>843</v>
      </c>
      <c r="D1591" s="611" t="s">
        <v>1723</v>
      </c>
      <c r="E1591" s="602"/>
      <c r="F1591" s="603"/>
      <c r="G1591" s="604"/>
      <c r="H1591" s="605"/>
      <c r="I1591" s="675">
        <v>7.29</v>
      </c>
      <c r="J1591" s="675">
        <f t="shared" si="309"/>
        <v>7.29</v>
      </c>
      <c r="K1591" s="606">
        <f t="shared" si="306"/>
        <v>8.85</v>
      </c>
      <c r="L1591" s="389" t="s">
        <v>19</v>
      </c>
      <c r="M1591" s="30"/>
      <c r="N1591" s="30"/>
      <c r="O1591" s="287">
        <f t="shared" si="307"/>
        <v>0</v>
      </c>
      <c r="P1591" s="287">
        <f t="shared" si="308"/>
        <v>0</v>
      </c>
      <c r="Q1591" s="288"/>
      <c r="R1591" s="243"/>
      <c r="S1591" s="385" t="str">
        <f t="shared" si="305"/>
        <v/>
      </c>
    </row>
    <row r="1592" spans="2:19" ht="26.25" hidden="1" thickBot="1">
      <c r="B1592" s="609">
        <v>98282</v>
      </c>
      <c r="C1592" s="610" t="s">
        <v>843</v>
      </c>
      <c r="D1592" s="611" t="s">
        <v>1724</v>
      </c>
      <c r="E1592" s="602"/>
      <c r="F1592" s="603"/>
      <c r="G1592" s="604"/>
      <c r="H1592" s="605"/>
      <c r="I1592" s="675">
        <v>7.91</v>
      </c>
      <c r="J1592" s="675">
        <f t="shared" si="309"/>
        <v>7.91</v>
      </c>
      <c r="K1592" s="606">
        <f t="shared" si="306"/>
        <v>9.6</v>
      </c>
      <c r="L1592" s="389" t="s">
        <v>19</v>
      </c>
      <c r="M1592" s="30"/>
      <c r="N1592" s="30"/>
      <c r="O1592" s="287">
        <f t="shared" si="307"/>
        <v>0</v>
      </c>
      <c r="P1592" s="287">
        <f t="shared" si="308"/>
        <v>0</v>
      </c>
      <c r="Q1592" s="288"/>
      <c r="R1592" s="243"/>
      <c r="S1592" s="385" t="str">
        <f t="shared" si="305"/>
        <v/>
      </c>
    </row>
    <row r="1593" spans="2:19" ht="26.25" hidden="1" thickBot="1">
      <c r="B1593" s="609">
        <v>98283</v>
      </c>
      <c r="C1593" s="610" t="s">
        <v>843</v>
      </c>
      <c r="D1593" s="611" t="s">
        <v>1725</v>
      </c>
      <c r="E1593" s="602"/>
      <c r="F1593" s="603"/>
      <c r="G1593" s="604"/>
      <c r="H1593" s="605"/>
      <c r="I1593" s="675">
        <v>8.4</v>
      </c>
      <c r="J1593" s="675">
        <f t="shared" si="309"/>
        <v>8.4</v>
      </c>
      <c r="K1593" s="606">
        <f t="shared" si="306"/>
        <v>10.19</v>
      </c>
      <c r="L1593" s="389" t="s">
        <v>19</v>
      </c>
      <c r="M1593" s="30"/>
      <c r="N1593" s="30"/>
      <c r="O1593" s="287">
        <f t="shared" si="307"/>
        <v>0</v>
      </c>
      <c r="P1593" s="287">
        <f t="shared" si="308"/>
        <v>0</v>
      </c>
      <c r="Q1593" s="288"/>
      <c r="R1593" s="243"/>
      <c r="S1593" s="385" t="str">
        <f t="shared" si="305"/>
        <v/>
      </c>
    </row>
    <row r="1594" spans="2:19" ht="26.25" hidden="1" thickBot="1">
      <c r="B1594" s="609">
        <v>98284</v>
      </c>
      <c r="C1594" s="610" t="s">
        <v>843</v>
      </c>
      <c r="D1594" s="611" t="s">
        <v>1726</v>
      </c>
      <c r="E1594" s="602"/>
      <c r="F1594" s="603"/>
      <c r="G1594" s="604"/>
      <c r="H1594" s="605"/>
      <c r="I1594" s="675">
        <v>9.1</v>
      </c>
      <c r="J1594" s="675">
        <f t="shared" si="309"/>
        <v>9.1</v>
      </c>
      <c r="K1594" s="606">
        <f t="shared" si="306"/>
        <v>11.04</v>
      </c>
      <c r="L1594" s="389" t="s">
        <v>19</v>
      </c>
      <c r="M1594" s="30"/>
      <c r="N1594" s="30"/>
      <c r="O1594" s="287">
        <f t="shared" si="307"/>
        <v>0</v>
      </c>
      <c r="P1594" s="287">
        <f t="shared" si="308"/>
        <v>0</v>
      </c>
      <c r="Q1594" s="288"/>
      <c r="R1594" s="243"/>
      <c r="S1594" s="385" t="str">
        <f t="shared" si="305"/>
        <v/>
      </c>
    </row>
    <row r="1595" spans="2:19" ht="26.25" hidden="1" thickBot="1">
      <c r="B1595" s="609">
        <v>98285</v>
      </c>
      <c r="C1595" s="610" t="s">
        <v>843</v>
      </c>
      <c r="D1595" s="611" t="s">
        <v>1727</v>
      </c>
      <c r="E1595" s="602"/>
      <c r="F1595" s="603"/>
      <c r="G1595" s="604"/>
      <c r="H1595" s="605"/>
      <c r="I1595" s="675">
        <v>9.5</v>
      </c>
      <c r="J1595" s="675">
        <f t="shared" si="309"/>
        <v>9.5</v>
      </c>
      <c r="K1595" s="606">
        <f t="shared" si="306"/>
        <v>11.53</v>
      </c>
      <c r="L1595" s="389" t="s">
        <v>19</v>
      </c>
      <c r="M1595" s="30"/>
      <c r="N1595" s="30"/>
      <c r="O1595" s="287">
        <f t="shared" si="307"/>
        <v>0</v>
      </c>
      <c r="P1595" s="287">
        <f t="shared" si="308"/>
        <v>0</v>
      </c>
      <c r="Q1595" s="288"/>
      <c r="R1595" s="243"/>
      <c r="S1595" s="385" t="str">
        <f t="shared" si="305"/>
        <v/>
      </c>
    </row>
    <row r="1596" spans="2:19" ht="26.25" hidden="1" thickBot="1">
      <c r="B1596" s="609">
        <v>98287</v>
      </c>
      <c r="C1596" s="610" t="s">
        <v>843</v>
      </c>
      <c r="D1596" s="611" t="s">
        <v>1728</v>
      </c>
      <c r="E1596" s="602"/>
      <c r="F1596" s="603"/>
      <c r="G1596" s="604"/>
      <c r="H1596" s="605"/>
      <c r="I1596" s="675">
        <v>1.18</v>
      </c>
      <c r="J1596" s="675">
        <f t="shared" si="309"/>
        <v>1.18</v>
      </c>
      <c r="K1596" s="606">
        <f t="shared" si="306"/>
        <v>1.43</v>
      </c>
      <c r="L1596" s="389" t="s">
        <v>19</v>
      </c>
      <c r="M1596" s="30"/>
      <c r="N1596" s="30"/>
      <c r="O1596" s="287">
        <f t="shared" si="307"/>
        <v>0</v>
      </c>
      <c r="P1596" s="287">
        <f t="shared" si="308"/>
        <v>0</v>
      </c>
      <c r="Q1596" s="288"/>
      <c r="R1596" s="243"/>
      <c r="S1596" s="385" t="str">
        <f t="shared" ref="S1596:S1665" si="310">IF(R1596="x","x",IF(R1596="y","x",IF(R1596="xy","x",IF(P1596&gt;0,"x",""))))</f>
        <v/>
      </c>
    </row>
    <row r="1597" spans="2:19" ht="26.25" hidden="1" thickBot="1">
      <c r="B1597" s="609">
        <v>98288</v>
      </c>
      <c r="C1597" s="610" t="s">
        <v>843</v>
      </c>
      <c r="D1597" s="611" t="s">
        <v>1729</v>
      </c>
      <c r="E1597" s="602"/>
      <c r="F1597" s="603"/>
      <c r="G1597" s="604"/>
      <c r="H1597" s="605"/>
      <c r="I1597" s="675">
        <v>1.71</v>
      </c>
      <c r="J1597" s="675">
        <f t="shared" si="309"/>
        <v>1.71</v>
      </c>
      <c r="K1597" s="606">
        <f t="shared" si="306"/>
        <v>2.08</v>
      </c>
      <c r="L1597" s="389" t="s">
        <v>19</v>
      </c>
      <c r="M1597" s="30"/>
      <c r="N1597" s="30"/>
      <c r="O1597" s="287">
        <f t="shared" si="307"/>
        <v>0</v>
      </c>
      <c r="P1597" s="287">
        <f t="shared" si="308"/>
        <v>0</v>
      </c>
      <c r="Q1597" s="288"/>
      <c r="R1597" s="243"/>
      <c r="S1597" s="385" t="str">
        <f t="shared" si="310"/>
        <v/>
      </c>
    </row>
    <row r="1598" spans="2:19" ht="26.25" hidden="1" thickBot="1">
      <c r="B1598" s="609">
        <v>98289</v>
      </c>
      <c r="C1598" s="610" t="s">
        <v>843</v>
      </c>
      <c r="D1598" s="611" t="s">
        <v>1730</v>
      </c>
      <c r="E1598" s="602"/>
      <c r="F1598" s="603"/>
      <c r="G1598" s="604"/>
      <c r="H1598" s="605"/>
      <c r="I1598" s="675">
        <v>2.33</v>
      </c>
      <c r="J1598" s="675">
        <f t="shared" si="309"/>
        <v>2.33</v>
      </c>
      <c r="K1598" s="606">
        <f t="shared" si="306"/>
        <v>2.83</v>
      </c>
      <c r="L1598" s="389" t="s">
        <v>19</v>
      </c>
      <c r="M1598" s="30"/>
      <c r="N1598" s="30"/>
      <c r="O1598" s="287">
        <f t="shared" si="307"/>
        <v>0</v>
      </c>
      <c r="P1598" s="287">
        <f t="shared" si="308"/>
        <v>0</v>
      </c>
      <c r="Q1598" s="288"/>
      <c r="R1598" s="243"/>
      <c r="S1598" s="385" t="str">
        <f t="shared" si="310"/>
        <v/>
      </c>
    </row>
    <row r="1599" spans="2:19" ht="26.25" hidden="1" thickBot="1">
      <c r="B1599" s="609">
        <v>98290</v>
      </c>
      <c r="C1599" s="610" t="s">
        <v>843</v>
      </c>
      <c r="D1599" s="611" t="s">
        <v>1731</v>
      </c>
      <c r="E1599" s="602"/>
      <c r="F1599" s="603"/>
      <c r="G1599" s="604"/>
      <c r="H1599" s="605"/>
      <c r="I1599" s="675">
        <v>2.82</v>
      </c>
      <c r="J1599" s="675">
        <f t="shared" si="309"/>
        <v>2.82</v>
      </c>
      <c r="K1599" s="606">
        <f t="shared" si="306"/>
        <v>3.42</v>
      </c>
      <c r="L1599" s="389" t="s">
        <v>19</v>
      </c>
      <c r="M1599" s="30"/>
      <c r="N1599" s="30"/>
      <c r="O1599" s="287">
        <f t="shared" si="307"/>
        <v>0</v>
      </c>
      <c r="P1599" s="287">
        <f t="shared" si="308"/>
        <v>0</v>
      </c>
      <c r="Q1599" s="288"/>
      <c r="R1599" s="243"/>
      <c r="S1599" s="385" t="str">
        <f t="shared" si="310"/>
        <v/>
      </c>
    </row>
    <row r="1600" spans="2:19" ht="26.25" hidden="1" thickBot="1">
      <c r="B1600" s="609">
        <v>98291</v>
      </c>
      <c r="C1600" s="610" t="s">
        <v>843</v>
      </c>
      <c r="D1600" s="611" t="s">
        <v>1732</v>
      </c>
      <c r="E1600" s="602"/>
      <c r="F1600" s="603"/>
      <c r="G1600" s="604"/>
      <c r="H1600" s="605"/>
      <c r="I1600" s="675">
        <v>3.52</v>
      </c>
      <c r="J1600" s="675">
        <f t="shared" si="309"/>
        <v>3.52</v>
      </c>
      <c r="K1600" s="606">
        <f t="shared" si="306"/>
        <v>4.2699999999999996</v>
      </c>
      <c r="L1600" s="389" t="s">
        <v>19</v>
      </c>
      <c r="M1600" s="30"/>
      <c r="N1600" s="30"/>
      <c r="O1600" s="287">
        <f t="shared" si="307"/>
        <v>0</v>
      </c>
      <c r="P1600" s="287">
        <f t="shared" si="308"/>
        <v>0</v>
      </c>
      <c r="Q1600" s="288"/>
      <c r="R1600" s="243"/>
      <c r="S1600" s="385" t="str">
        <f t="shared" si="310"/>
        <v/>
      </c>
    </row>
    <row r="1601" spans="2:19" ht="26.25" hidden="1" thickBot="1">
      <c r="B1601" s="609">
        <v>98292</v>
      </c>
      <c r="C1601" s="610" t="s">
        <v>843</v>
      </c>
      <c r="D1601" s="611" t="s">
        <v>1733</v>
      </c>
      <c r="E1601" s="602"/>
      <c r="F1601" s="603"/>
      <c r="G1601" s="604"/>
      <c r="H1601" s="605"/>
      <c r="I1601" s="675">
        <v>3.93</v>
      </c>
      <c r="J1601" s="675">
        <f t="shared" si="309"/>
        <v>3.93</v>
      </c>
      <c r="K1601" s="606">
        <f t="shared" si="306"/>
        <v>4.7699999999999996</v>
      </c>
      <c r="L1601" s="389" t="s">
        <v>19</v>
      </c>
      <c r="M1601" s="30"/>
      <c r="N1601" s="30"/>
      <c r="O1601" s="287">
        <f t="shared" si="307"/>
        <v>0</v>
      </c>
      <c r="P1601" s="287">
        <f t="shared" si="308"/>
        <v>0</v>
      </c>
      <c r="Q1601" s="288"/>
      <c r="R1601" s="243"/>
      <c r="S1601" s="385" t="str">
        <f t="shared" si="310"/>
        <v/>
      </c>
    </row>
    <row r="1602" spans="2:19" ht="13.5" hidden="1" thickBot="1">
      <c r="B1602" s="609">
        <v>98397</v>
      </c>
      <c r="C1602" s="610" t="s">
        <v>843</v>
      </c>
      <c r="D1602" s="611" t="s">
        <v>1734</v>
      </c>
      <c r="E1602" s="602"/>
      <c r="F1602" s="603"/>
      <c r="G1602" s="604"/>
      <c r="H1602" s="605"/>
      <c r="I1602" s="675">
        <v>10.02</v>
      </c>
      <c r="J1602" s="675">
        <f t="shared" si="309"/>
        <v>10.02</v>
      </c>
      <c r="K1602" s="606">
        <f t="shared" si="306"/>
        <v>12.16</v>
      </c>
      <c r="L1602" s="389" t="s">
        <v>18</v>
      </c>
      <c r="M1602" s="30"/>
      <c r="N1602" s="30"/>
      <c r="O1602" s="287">
        <f t="shared" si="307"/>
        <v>0</v>
      </c>
      <c r="P1602" s="287">
        <f t="shared" si="308"/>
        <v>0</v>
      </c>
      <c r="Q1602" s="288"/>
      <c r="R1602" s="243"/>
      <c r="S1602" s="385" t="str">
        <f t="shared" si="310"/>
        <v/>
      </c>
    </row>
    <row r="1603" spans="2:19" ht="26.25" hidden="1" thickBot="1">
      <c r="B1603" s="609">
        <v>97327</v>
      </c>
      <c r="C1603" s="610" t="s">
        <v>843</v>
      </c>
      <c r="D1603" s="611" t="s">
        <v>1735</v>
      </c>
      <c r="E1603" s="602"/>
      <c r="F1603" s="603"/>
      <c r="G1603" s="604"/>
      <c r="H1603" s="605"/>
      <c r="I1603" s="675">
        <v>21.63</v>
      </c>
      <c r="J1603" s="675">
        <f t="shared" si="309"/>
        <v>21.63</v>
      </c>
      <c r="K1603" s="606">
        <f t="shared" si="306"/>
        <v>26.25</v>
      </c>
      <c r="L1603" s="389" t="s">
        <v>19</v>
      </c>
      <c r="M1603" s="30"/>
      <c r="N1603" s="30"/>
      <c r="O1603" s="287">
        <f t="shared" si="307"/>
        <v>0</v>
      </c>
      <c r="P1603" s="287">
        <f t="shared" si="308"/>
        <v>0</v>
      </c>
      <c r="Q1603" s="288"/>
      <c r="R1603" s="243"/>
      <c r="S1603" s="385" t="str">
        <f t="shared" si="310"/>
        <v/>
      </c>
    </row>
    <row r="1604" spans="2:19" ht="26.25" hidden="1" thickBot="1">
      <c r="B1604" s="609">
        <v>97328</v>
      </c>
      <c r="C1604" s="610" t="s">
        <v>843</v>
      </c>
      <c r="D1604" s="611" t="s">
        <v>1736</v>
      </c>
      <c r="E1604" s="602"/>
      <c r="F1604" s="603"/>
      <c r="G1604" s="604"/>
      <c r="H1604" s="605"/>
      <c r="I1604" s="675">
        <v>37.35</v>
      </c>
      <c r="J1604" s="675">
        <f t="shared" si="309"/>
        <v>37.35</v>
      </c>
      <c r="K1604" s="606">
        <f t="shared" si="306"/>
        <v>45.32</v>
      </c>
      <c r="L1604" s="389" t="s">
        <v>19</v>
      </c>
      <c r="M1604" s="30"/>
      <c r="N1604" s="30"/>
      <c r="O1604" s="287">
        <f t="shared" si="307"/>
        <v>0</v>
      </c>
      <c r="P1604" s="287">
        <f t="shared" si="308"/>
        <v>0</v>
      </c>
      <c r="Q1604" s="288"/>
      <c r="R1604" s="243"/>
      <c r="S1604" s="385" t="str">
        <f t="shared" si="310"/>
        <v/>
      </c>
    </row>
    <row r="1605" spans="2:19" ht="26.25" hidden="1" thickBot="1">
      <c r="B1605" s="609">
        <v>97329</v>
      </c>
      <c r="C1605" s="610" t="s">
        <v>843</v>
      </c>
      <c r="D1605" s="611" t="s">
        <v>1737</v>
      </c>
      <c r="E1605" s="602"/>
      <c r="F1605" s="603"/>
      <c r="G1605" s="604"/>
      <c r="H1605" s="605"/>
      <c r="I1605" s="675">
        <v>46.59</v>
      </c>
      <c r="J1605" s="675">
        <f t="shared" si="309"/>
        <v>46.59</v>
      </c>
      <c r="K1605" s="606">
        <f t="shared" si="306"/>
        <v>56.54</v>
      </c>
      <c r="L1605" s="389" t="s">
        <v>19</v>
      </c>
      <c r="M1605" s="30"/>
      <c r="N1605" s="30"/>
      <c r="O1605" s="287">
        <f t="shared" si="307"/>
        <v>0</v>
      </c>
      <c r="P1605" s="287">
        <f t="shared" si="308"/>
        <v>0</v>
      </c>
      <c r="Q1605" s="288"/>
      <c r="R1605" s="243"/>
      <c r="S1605" s="385" t="str">
        <f t="shared" si="310"/>
        <v/>
      </c>
    </row>
    <row r="1606" spans="2:19" ht="26.25" hidden="1" thickBot="1">
      <c r="B1606" s="609">
        <v>97330</v>
      </c>
      <c r="C1606" s="610" t="s">
        <v>843</v>
      </c>
      <c r="D1606" s="611" t="s">
        <v>1738</v>
      </c>
      <c r="E1606" s="602"/>
      <c r="F1606" s="603"/>
      <c r="G1606" s="604"/>
      <c r="H1606" s="605"/>
      <c r="I1606" s="675">
        <v>56.73</v>
      </c>
      <c r="J1606" s="675">
        <f t="shared" si="309"/>
        <v>56.73</v>
      </c>
      <c r="K1606" s="606">
        <f t="shared" si="306"/>
        <v>68.84</v>
      </c>
      <c r="L1606" s="389" t="s">
        <v>19</v>
      </c>
      <c r="M1606" s="30"/>
      <c r="N1606" s="30"/>
      <c r="O1606" s="287">
        <f t="shared" si="307"/>
        <v>0</v>
      </c>
      <c r="P1606" s="287">
        <f t="shared" si="308"/>
        <v>0</v>
      </c>
      <c r="Q1606" s="288"/>
      <c r="R1606" s="243"/>
      <c r="S1606" s="385" t="str">
        <f t="shared" si="310"/>
        <v/>
      </c>
    </row>
    <row r="1607" spans="2:19" ht="26.25" hidden="1" thickBot="1">
      <c r="B1607" s="609">
        <v>97331</v>
      </c>
      <c r="C1607" s="610" t="s">
        <v>843</v>
      </c>
      <c r="D1607" s="611" t="s">
        <v>1739</v>
      </c>
      <c r="E1607" s="602"/>
      <c r="F1607" s="603"/>
      <c r="G1607" s="604"/>
      <c r="H1607" s="605"/>
      <c r="I1607" s="675">
        <v>21.93</v>
      </c>
      <c r="J1607" s="675">
        <f t="shared" si="309"/>
        <v>21.93</v>
      </c>
      <c r="K1607" s="606">
        <f t="shared" si="306"/>
        <v>26.61</v>
      </c>
      <c r="L1607" s="389" t="s">
        <v>19</v>
      </c>
      <c r="M1607" s="30"/>
      <c r="N1607" s="30"/>
      <c r="O1607" s="287">
        <f t="shared" si="307"/>
        <v>0</v>
      </c>
      <c r="P1607" s="287">
        <f t="shared" si="308"/>
        <v>0</v>
      </c>
      <c r="Q1607" s="288"/>
      <c r="R1607" s="243"/>
      <c r="S1607" s="385" t="str">
        <f t="shared" si="310"/>
        <v/>
      </c>
    </row>
    <row r="1608" spans="2:19" ht="26.25" hidden="1" thickBot="1">
      <c r="B1608" s="609">
        <v>97332</v>
      </c>
      <c r="C1608" s="610" t="s">
        <v>843</v>
      </c>
      <c r="D1608" s="611" t="s">
        <v>1740</v>
      </c>
      <c r="E1608" s="602"/>
      <c r="F1608" s="603"/>
      <c r="G1608" s="604"/>
      <c r="H1608" s="605"/>
      <c r="I1608" s="675">
        <v>37.700000000000003</v>
      </c>
      <c r="J1608" s="675">
        <f t="shared" si="309"/>
        <v>37.700000000000003</v>
      </c>
      <c r="K1608" s="606">
        <f t="shared" si="306"/>
        <v>45.75</v>
      </c>
      <c r="L1608" s="389" t="s">
        <v>19</v>
      </c>
      <c r="M1608" s="30"/>
      <c r="N1608" s="30"/>
      <c r="O1608" s="287">
        <f t="shared" si="307"/>
        <v>0</v>
      </c>
      <c r="P1608" s="287">
        <f t="shared" si="308"/>
        <v>0</v>
      </c>
      <c r="Q1608" s="288"/>
      <c r="R1608" s="243"/>
      <c r="S1608" s="385" t="str">
        <f t="shared" si="310"/>
        <v/>
      </c>
    </row>
    <row r="1609" spans="2:19" ht="26.25" hidden="1" thickBot="1">
      <c r="B1609" s="609">
        <v>97333</v>
      </c>
      <c r="C1609" s="610" t="s">
        <v>843</v>
      </c>
      <c r="D1609" s="611" t="s">
        <v>1741</v>
      </c>
      <c r="E1609" s="602"/>
      <c r="F1609" s="603"/>
      <c r="G1609" s="604"/>
      <c r="H1609" s="605"/>
      <c r="I1609" s="675">
        <v>47.03</v>
      </c>
      <c r="J1609" s="675">
        <f t="shared" si="309"/>
        <v>47.03</v>
      </c>
      <c r="K1609" s="606">
        <f t="shared" si="306"/>
        <v>57.07</v>
      </c>
      <c r="L1609" s="389" t="s">
        <v>19</v>
      </c>
      <c r="M1609" s="30"/>
      <c r="N1609" s="30"/>
      <c r="O1609" s="287">
        <f t="shared" si="307"/>
        <v>0</v>
      </c>
      <c r="P1609" s="287">
        <f t="shared" si="308"/>
        <v>0</v>
      </c>
      <c r="Q1609" s="288"/>
      <c r="R1609" s="243"/>
      <c r="S1609" s="385" t="str">
        <f t="shared" si="310"/>
        <v/>
      </c>
    </row>
    <row r="1610" spans="2:19" ht="26.25" hidden="1" thickBot="1">
      <c r="B1610" s="609">
        <v>97334</v>
      </c>
      <c r="C1610" s="610" t="s">
        <v>843</v>
      </c>
      <c r="D1610" s="611" t="s">
        <v>1742</v>
      </c>
      <c r="E1610" s="602"/>
      <c r="F1610" s="603"/>
      <c r="G1610" s="604"/>
      <c r="H1610" s="605"/>
      <c r="I1610" s="675">
        <v>57.21</v>
      </c>
      <c r="J1610" s="675">
        <f t="shared" si="309"/>
        <v>57.21</v>
      </c>
      <c r="K1610" s="606">
        <f t="shared" si="306"/>
        <v>69.42</v>
      </c>
      <c r="L1610" s="389" t="s">
        <v>19</v>
      </c>
      <c r="M1610" s="30"/>
      <c r="N1610" s="30"/>
      <c r="O1610" s="287">
        <f t="shared" si="307"/>
        <v>0</v>
      </c>
      <c r="P1610" s="287">
        <f t="shared" si="308"/>
        <v>0</v>
      </c>
      <c r="Q1610" s="288"/>
      <c r="R1610" s="243"/>
      <c r="S1610" s="385" t="str">
        <f t="shared" si="310"/>
        <v/>
      </c>
    </row>
    <row r="1611" spans="2:19" ht="13.5" hidden="1" thickBot="1">
      <c r="B1611" s="609">
        <v>844000</v>
      </c>
      <c r="C1611" s="610" t="s">
        <v>212</v>
      </c>
      <c r="D1611" s="611" t="s">
        <v>757</v>
      </c>
      <c r="E1611" s="602"/>
      <c r="F1611" s="603"/>
      <c r="G1611" s="604"/>
      <c r="H1611" s="605"/>
      <c r="I1611" s="675">
        <v>3953.92</v>
      </c>
      <c r="J1611" s="675">
        <f>IF(ISBLANK(I1611),"",SUM(H1611:I1611))</f>
        <v>3953.92</v>
      </c>
      <c r="K1611" s="606">
        <f t="shared" si="306"/>
        <v>4798.08</v>
      </c>
      <c r="L1611" s="389" t="s">
        <v>21</v>
      </c>
      <c r="M1611" s="30"/>
      <c r="N1611" s="30"/>
      <c r="O1611" s="287">
        <f t="shared" si="307"/>
        <v>0</v>
      </c>
      <c r="P1611" s="287">
        <f t="shared" si="308"/>
        <v>0</v>
      </c>
      <c r="Q1611" s="288"/>
      <c r="R1611" s="243"/>
      <c r="S1611" s="385" t="str">
        <f t="shared" si="310"/>
        <v/>
      </c>
    </row>
    <row r="1612" spans="2:19" ht="13.5" hidden="1" thickBot="1">
      <c r="B1612" s="624" t="s">
        <v>187</v>
      </c>
      <c r="C1612" s="393"/>
      <c r="D1612" s="394" t="s">
        <v>738</v>
      </c>
      <c r="E1612" s="395"/>
      <c r="F1612" s="396"/>
      <c r="G1612" s="397"/>
      <c r="H1612" s="398"/>
      <c r="I1612" s="399"/>
      <c r="J1612" s="399"/>
      <c r="K1612" s="615"/>
      <c r="L1612" s="399" t="s">
        <v>777</v>
      </c>
      <c r="M1612" s="398"/>
      <c r="N1612" s="399"/>
      <c r="O1612" s="399"/>
      <c r="P1612" s="400"/>
      <c r="Q1612" s="288"/>
      <c r="R1612" s="384" t="str">
        <f>IF(SUM(P1613:P1644)&gt;0,"y","")</f>
        <v/>
      </c>
      <c r="S1612" s="385" t="str">
        <f t="shared" si="310"/>
        <v/>
      </c>
    </row>
    <row r="1613" spans="2:19" ht="13.5" hidden="1" thickBot="1">
      <c r="B1613" s="625" t="s">
        <v>187</v>
      </c>
      <c r="C1613" s="401" t="s">
        <v>187</v>
      </c>
      <c r="D1613" s="410"/>
      <c r="E1613" s="403"/>
      <c r="F1613" s="411"/>
      <c r="G1613" s="405"/>
      <c r="H1613" s="404"/>
      <c r="I1613" s="406"/>
      <c r="J1613" s="407"/>
      <c r="K1613" s="616">
        <f t="shared" ref="K1613:K1644" si="311">IF(ISBLANK(J1613),0,ROUND(J1613*(1+$F$10)*(1+$F$11*E1613),2))</f>
        <v>0</v>
      </c>
      <c r="L1613" s="409" t="s">
        <v>777</v>
      </c>
      <c r="M1613" s="425"/>
      <c r="N1613" s="425"/>
      <c r="O1613" s="287">
        <f t="shared" ref="O1613" si="312">IF(ISBLANK(M1613),0,ROUND(K1613*M1613,2))</f>
        <v>0</v>
      </c>
      <c r="P1613" s="391">
        <f t="shared" ref="P1613:P1644" si="313">IF(ISBLANK(N1613),0,ROUND(M1613*N1613,2))</f>
        <v>0</v>
      </c>
      <c r="Q1613" s="288"/>
      <c r="R1613" s="243"/>
      <c r="S1613" s="385" t="str">
        <f t="shared" si="310"/>
        <v/>
      </c>
    </row>
    <row r="1614" spans="2:19" ht="13.5" hidden="1" thickBot="1">
      <c r="B1614" s="625" t="s">
        <v>187</v>
      </c>
      <c r="C1614" s="401" t="s">
        <v>187</v>
      </c>
      <c r="D1614" s="410"/>
      <c r="E1614" s="403"/>
      <c r="F1614" s="411"/>
      <c r="G1614" s="405"/>
      <c r="H1614" s="404"/>
      <c r="I1614" s="406"/>
      <c r="J1614" s="407"/>
      <c r="K1614" s="617">
        <f t="shared" si="311"/>
        <v>0</v>
      </c>
      <c r="L1614" s="409" t="s">
        <v>777</v>
      </c>
      <c r="M1614" s="30"/>
      <c r="N1614" s="30"/>
      <c r="O1614" s="287">
        <f>IF(ISBLANK(M1614),0,ROUND(K1614*M1614,2))</f>
        <v>0</v>
      </c>
      <c r="P1614" s="287">
        <f t="shared" si="313"/>
        <v>0</v>
      </c>
      <c r="Q1614" s="288"/>
      <c r="R1614" s="243"/>
      <c r="S1614" s="385" t="str">
        <f t="shared" si="310"/>
        <v/>
      </c>
    </row>
    <row r="1615" spans="2:19" ht="13.5" hidden="1" thickBot="1">
      <c r="B1615" s="625" t="s">
        <v>187</v>
      </c>
      <c r="C1615" s="401" t="s">
        <v>187</v>
      </c>
      <c r="D1615" s="410"/>
      <c r="E1615" s="403"/>
      <c r="F1615" s="411"/>
      <c r="G1615" s="405"/>
      <c r="H1615" s="404"/>
      <c r="I1615" s="406"/>
      <c r="J1615" s="407"/>
      <c r="K1615" s="617">
        <f t="shared" si="311"/>
        <v>0</v>
      </c>
      <c r="L1615" s="409" t="s">
        <v>777</v>
      </c>
      <c r="M1615" s="30"/>
      <c r="N1615" s="30"/>
      <c r="O1615" s="287">
        <f t="shared" ref="O1615:O1644" si="314">IF(ISBLANK(M1615),0,ROUND(K1615*M1615,2))</f>
        <v>0</v>
      </c>
      <c r="P1615" s="287">
        <f t="shared" si="313"/>
        <v>0</v>
      </c>
      <c r="Q1615" s="288"/>
      <c r="R1615" s="243"/>
      <c r="S1615" s="385" t="str">
        <f t="shared" si="310"/>
        <v/>
      </c>
    </row>
    <row r="1616" spans="2:19" ht="13.5" hidden="1" thickBot="1">
      <c r="B1616" s="625" t="s">
        <v>187</v>
      </c>
      <c r="C1616" s="401" t="s">
        <v>187</v>
      </c>
      <c r="D1616" s="410"/>
      <c r="E1616" s="403"/>
      <c r="F1616" s="411"/>
      <c r="G1616" s="405"/>
      <c r="H1616" s="404"/>
      <c r="I1616" s="406"/>
      <c r="J1616" s="407"/>
      <c r="K1616" s="617">
        <f t="shared" si="311"/>
        <v>0</v>
      </c>
      <c r="L1616" s="409" t="s">
        <v>777</v>
      </c>
      <c r="M1616" s="30"/>
      <c r="N1616" s="30"/>
      <c r="O1616" s="287">
        <f t="shared" si="314"/>
        <v>0</v>
      </c>
      <c r="P1616" s="287">
        <f t="shared" si="313"/>
        <v>0</v>
      </c>
      <c r="Q1616" s="288"/>
      <c r="R1616" s="243"/>
      <c r="S1616" s="385" t="str">
        <f t="shared" si="310"/>
        <v/>
      </c>
    </row>
    <row r="1617" spans="2:19" ht="13.5" hidden="1" thickBot="1">
      <c r="B1617" s="625" t="s">
        <v>187</v>
      </c>
      <c r="C1617" s="401" t="s">
        <v>187</v>
      </c>
      <c r="D1617" s="410"/>
      <c r="E1617" s="403"/>
      <c r="F1617" s="411"/>
      <c r="G1617" s="405"/>
      <c r="H1617" s="404"/>
      <c r="I1617" s="406"/>
      <c r="J1617" s="407"/>
      <c r="K1617" s="617">
        <f t="shared" si="311"/>
        <v>0</v>
      </c>
      <c r="L1617" s="409" t="s">
        <v>777</v>
      </c>
      <c r="M1617" s="30"/>
      <c r="N1617" s="30"/>
      <c r="O1617" s="287">
        <f t="shared" si="314"/>
        <v>0</v>
      </c>
      <c r="P1617" s="287">
        <f t="shared" si="313"/>
        <v>0</v>
      </c>
      <c r="Q1617" s="288"/>
      <c r="R1617" s="243"/>
      <c r="S1617" s="385" t="str">
        <f t="shared" si="310"/>
        <v/>
      </c>
    </row>
    <row r="1618" spans="2:19" ht="13.5" hidden="1" thickBot="1">
      <c r="B1618" s="625" t="s">
        <v>187</v>
      </c>
      <c r="C1618" s="401" t="s">
        <v>187</v>
      </c>
      <c r="D1618" s="410"/>
      <c r="E1618" s="403"/>
      <c r="F1618" s="411"/>
      <c r="G1618" s="405"/>
      <c r="H1618" s="404"/>
      <c r="I1618" s="406"/>
      <c r="J1618" s="407"/>
      <c r="K1618" s="617">
        <f t="shared" si="311"/>
        <v>0</v>
      </c>
      <c r="L1618" s="409" t="s">
        <v>777</v>
      </c>
      <c r="M1618" s="30"/>
      <c r="N1618" s="30"/>
      <c r="O1618" s="287">
        <f t="shared" si="314"/>
        <v>0</v>
      </c>
      <c r="P1618" s="287">
        <f t="shared" si="313"/>
        <v>0</v>
      </c>
      <c r="Q1618" s="288"/>
      <c r="R1618" s="243"/>
      <c r="S1618" s="385" t="str">
        <f t="shared" si="310"/>
        <v/>
      </c>
    </row>
    <row r="1619" spans="2:19" ht="13.5" hidden="1" thickBot="1">
      <c r="B1619" s="625" t="s">
        <v>187</v>
      </c>
      <c r="C1619" s="401" t="s">
        <v>187</v>
      </c>
      <c r="D1619" s="410"/>
      <c r="E1619" s="403"/>
      <c r="F1619" s="411"/>
      <c r="G1619" s="405"/>
      <c r="H1619" s="404"/>
      <c r="I1619" s="406"/>
      <c r="J1619" s="407"/>
      <c r="K1619" s="617">
        <f t="shared" si="311"/>
        <v>0</v>
      </c>
      <c r="L1619" s="409" t="s">
        <v>777</v>
      </c>
      <c r="M1619" s="30"/>
      <c r="N1619" s="30"/>
      <c r="O1619" s="287">
        <f t="shared" si="314"/>
        <v>0</v>
      </c>
      <c r="P1619" s="287">
        <f t="shared" si="313"/>
        <v>0</v>
      </c>
      <c r="Q1619" s="288"/>
      <c r="R1619" s="243"/>
      <c r="S1619" s="385" t="str">
        <f t="shared" si="310"/>
        <v/>
      </c>
    </row>
    <row r="1620" spans="2:19" ht="13.5" hidden="1" thickBot="1">
      <c r="B1620" s="625" t="s">
        <v>187</v>
      </c>
      <c r="C1620" s="401" t="s">
        <v>187</v>
      </c>
      <c r="D1620" s="410"/>
      <c r="E1620" s="403"/>
      <c r="F1620" s="411"/>
      <c r="G1620" s="405"/>
      <c r="H1620" s="404"/>
      <c r="I1620" s="406"/>
      <c r="J1620" s="407"/>
      <c r="K1620" s="617">
        <f t="shared" si="311"/>
        <v>0</v>
      </c>
      <c r="L1620" s="409" t="s">
        <v>777</v>
      </c>
      <c r="M1620" s="30"/>
      <c r="N1620" s="30"/>
      <c r="O1620" s="287">
        <f t="shared" si="314"/>
        <v>0</v>
      </c>
      <c r="P1620" s="287">
        <f t="shared" si="313"/>
        <v>0</v>
      </c>
      <c r="Q1620" s="288"/>
      <c r="R1620" s="243"/>
      <c r="S1620" s="385" t="str">
        <f t="shared" si="310"/>
        <v/>
      </c>
    </row>
    <row r="1621" spans="2:19" ht="13.5" hidden="1" thickBot="1">
      <c r="B1621" s="625" t="s">
        <v>187</v>
      </c>
      <c r="C1621" s="401" t="s">
        <v>187</v>
      </c>
      <c r="D1621" s="410"/>
      <c r="E1621" s="403"/>
      <c r="F1621" s="411"/>
      <c r="G1621" s="405"/>
      <c r="H1621" s="404"/>
      <c r="I1621" s="406"/>
      <c r="J1621" s="407"/>
      <c r="K1621" s="617">
        <f t="shared" si="311"/>
        <v>0</v>
      </c>
      <c r="L1621" s="409" t="s">
        <v>777</v>
      </c>
      <c r="M1621" s="30"/>
      <c r="N1621" s="30"/>
      <c r="O1621" s="287">
        <f t="shared" si="314"/>
        <v>0</v>
      </c>
      <c r="P1621" s="287">
        <f t="shared" si="313"/>
        <v>0</v>
      </c>
      <c r="Q1621" s="288"/>
      <c r="R1621" s="243"/>
      <c r="S1621" s="385" t="str">
        <f t="shared" si="310"/>
        <v/>
      </c>
    </row>
    <row r="1622" spans="2:19" ht="13.5" hidden="1" thickBot="1">
      <c r="B1622" s="625" t="s">
        <v>187</v>
      </c>
      <c r="C1622" s="401" t="s">
        <v>187</v>
      </c>
      <c r="D1622" s="410"/>
      <c r="E1622" s="403"/>
      <c r="F1622" s="411"/>
      <c r="G1622" s="405"/>
      <c r="H1622" s="404"/>
      <c r="I1622" s="406"/>
      <c r="J1622" s="407"/>
      <c r="K1622" s="617">
        <f t="shared" si="311"/>
        <v>0</v>
      </c>
      <c r="L1622" s="409" t="s">
        <v>777</v>
      </c>
      <c r="M1622" s="30"/>
      <c r="N1622" s="30"/>
      <c r="O1622" s="287">
        <f t="shared" si="314"/>
        <v>0</v>
      </c>
      <c r="P1622" s="287">
        <f t="shared" si="313"/>
        <v>0</v>
      </c>
      <c r="Q1622" s="288"/>
      <c r="R1622" s="243"/>
      <c r="S1622" s="385" t="str">
        <f t="shared" si="310"/>
        <v/>
      </c>
    </row>
    <row r="1623" spans="2:19" ht="13.5" hidden="1" thickBot="1">
      <c r="B1623" s="625" t="s">
        <v>187</v>
      </c>
      <c r="C1623" s="401" t="s">
        <v>187</v>
      </c>
      <c r="D1623" s="410"/>
      <c r="E1623" s="403"/>
      <c r="F1623" s="411"/>
      <c r="G1623" s="405"/>
      <c r="H1623" s="404"/>
      <c r="I1623" s="406"/>
      <c r="J1623" s="407"/>
      <c r="K1623" s="617">
        <f t="shared" si="311"/>
        <v>0</v>
      </c>
      <c r="L1623" s="409" t="s">
        <v>777</v>
      </c>
      <c r="M1623" s="30"/>
      <c r="N1623" s="30"/>
      <c r="O1623" s="287">
        <f t="shared" si="314"/>
        <v>0</v>
      </c>
      <c r="P1623" s="287">
        <f t="shared" si="313"/>
        <v>0</v>
      </c>
      <c r="Q1623" s="288"/>
      <c r="R1623" s="243"/>
      <c r="S1623" s="385" t="str">
        <f t="shared" si="310"/>
        <v/>
      </c>
    </row>
    <row r="1624" spans="2:19" ht="13.5" hidden="1" thickBot="1">
      <c r="B1624" s="625" t="s">
        <v>187</v>
      </c>
      <c r="C1624" s="401" t="s">
        <v>187</v>
      </c>
      <c r="D1624" s="410"/>
      <c r="E1624" s="403"/>
      <c r="F1624" s="411"/>
      <c r="G1624" s="405"/>
      <c r="H1624" s="404"/>
      <c r="I1624" s="406"/>
      <c r="J1624" s="407"/>
      <c r="K1624" s="617">
        <f t="shared" si="311"/>
        <v>0</v>
      </c>
      <c r="L1624" s="409" t="s">
        <v>777</v>
      </c>
      <c r="M1624" s="30"/>
      <c r="N1624" s="30"/>
      <c r="O1624" s="287">
        <f t="shared" si="314"/>
        <v>0</v>
      </c>
      <c r="P1624" s="287">
        <f t="shared" si="313"/>
        <v>0</v>
      </c>
      <c r="Q1624" s="288"/>
      <c r="R1624" s="243"/>
      <c r="S1624" s="385" t="str">
        <f t="shared" si="310"/>
        <v/>
      </c>
    </row>
    <row r="1625" spans="2:19" ht="13.5" hidden="1" thickBot="1">
      <c r="B1625" s="625" t="s">
        <v>187</v>
      </c>
      <c r="C1625" s="401" t="s">
        <v>187</v>
      </c>
      <c r="D1625" s="410"/>
      <c r="E1625" s="403"/>
      <c r="F1625" s="411"/>
      <c r="G1625" s="405"/>
      <c r="H1625" s="404"/>
      <c r="I1625" s="406"/>
      <c r="J1625" s="407"/>
      <c r="K1625" s="617">
        <f t="shared" si="311"/>
        <v>0</v>
      </c>
      <c r="L1625" s="409" t="s">
        <v>777</v>
      </c>
      <c r="M1625" s="30"/>
      <c r="N1625" s="30"/>
      <c r="O1625" s="287">
        <f t="shared" si="314"/>
        <v>0</v>
      </c>
      <c r="P1625" s="287">
        <f t="shared" si="313"/>
        <v>0</v>
      </c>
      <c r="Q1625" s="288"/>
      <c r="R1625" s="243"/>
      <c r="S1625" s="385" t="str">
        <f t="shared" si="310"/>
        <v/>
      </c>
    </row>
    <row r="1626" spans="2:19" ht="13.5" hidden="1" thickBot="1">
      <c r="B1626" s="625" t="s">
        <v>187</v>
      </c>
      <c r="C1626" s="401" t="s">
        <v>187</v>
      </c>
      <c r="D1626" s="410"/>
      <c r="E1626" s="403"/>
      <c r="F1626" s="411"/>
      <c r="G1626" s="405"/>
      <c r="H1626" s="404"/>
      <c r="I1626" s="406"/>
      <c r="J1626" s="407"/>
      <c r="K1626" s="617">
        <f t="shared" si="311"/>
        <v>0</v>
      </c>
      <c r="L1626" s="409" t="s">
        <v>777</v>
      </c>
      <c r="M1626" s="30"/>
      <c r="N1626" s="30"/>
      <c r="O1626" s="287">
        <f t="shared" si="314"/>
        <v>0</v>
      </c>
      <c r="P1626" s="287">
        <f t="shared" si="313"/>
        <v>0</v>
      </c>
      <c r="Q1626" s="288"/>
      <c r="R1626" s="243"/>
      <c r="S1626" s="385" t="str">
        <f t="shared" si="310"/>
        <v/>
      </c>
    </row>
    <row r="1627" spans="2:19" ht="13.5" hidden="1" thickBot="1">
      <c r="B1627" s="625" t="s">
        <v>187</v>
      </c>
      <c r="C1627" s="401" t="s">
        <v>187</v>
      </c>
      <c r="D1627" s="410"/>
      <c r="E1627" s="403"/>
      <c r="F1627" s="411"/>
      <c r="G1627" s="405"/>
      <c r="H1627" s="404"/>
      <c r="I1627" s="406"/>
      <c r="J1627" s="407"/>
      <c r="K1627" s="617">
        <f t="shared" si="311"/>
        <v>0</v>
      </c>
      <c r="L1627" s="409" t="s">
        <v>777</v>
      </c>
      <c r="M1627" s="30"/>
      <c r="N1627" s="30"/>
      <c r="O1627" s="287">
        <f t="shared" si="314"/>
        <v>0</v>
      </c>
      <c r="P1627" s="287">
        <f t="shared" si="313"/>
        <v>0</v>
      </c>
      <c r="Q1627" s="288"/>
      <c r="R1627" s="243"/>
      <c r="S1627" s="385" t="str">
        <f t="shared" si="310"/>
        <v/>
      </c>
    </row>
    <row r="1628" spans="2:19" ht="13.5" hidden="1" thickBot="1">
      <c r="B1628" s="625" t="s">
        <v>187</v>
      </c>
      <c r="C1628" s="401" t="s">
        <v>187</v>
      </c>
      <c r="D1628" s="410"/>
      <c r="E1628" s="403"/>
      <c r="F1628" s="411"/>
      <c r="G1628" s="405"/>
      <c r="H1628" s="404"/>
      <c r="I1628" s="406"/>
      <c r="J1628" s="407"/>
      <c r="K1628" s="617">
        <f t="shared" si="311"/>
        <v>0</v>
      </c>
      <c r="L1628" s="409" t="s">
        <v>777</v>
      </c>
      <c r="M1628" s="30"/>
      <c r="N1628" s="30"/>
      <c r="O1628" s="287">
        <f t="shared" si="314"/>
        <v>0</v>
      </c>
      <c r="P1628" s="287">
        <f t="shared" si="313"/>
        <v>0</v>
      </c>
      <c r="Q1628" s="288"/>
      <c r="R1628" s="243"/>
      <c r="S1628" s="385" t="str">
        <f t="shared" si="310"/>
        <v/>
      </c>
    </row>
    <row r="1629" spans="2:19" ht="13.5" hidden="1" thickBot="1">
      <c r="B1629" s="625" t="s">
        <v>187</v>
      </c>
      <c r="C1629" s="401" t="s">
        <v>187</v>
      </c>
      <c r="D1629" s="410"/>
      <c r="E1629" s="403"/>
      <c r="F1629" s="411"/>
      <c r="G1629" s="405"/>
      <c r="H1629" s="404"/>
      <c r="I1629" s="406"/>
      <c r="J1629" s="407"/>
      <c r="K1629" s="617">
        <f t="shared" si="311"/>
        <v>0</v>
      </c>
      <c r="L1629" s="409" t="s">
        <v>777</v>
      </c>
      <c r="M1629" s="30"/>
      <c r="N1629" s="30"/>
      <c r="O1629" s="287">
        <f t="shared" si="314"/>
        <v>0</v>
      </c>
      <c r="P1629" s="287">
        <f t="shared" si="313"/>
        <v>0</v>
      </c>
      <c r="Q1629" s="288"/>
      <c r="R1629" s="243"/>
      <c r="S1629" s="385" t="str">
        <f t="shared" si="310"/>
        <v/>
      </c>
    </row>
    <row r="1630" spans="2:19" ht="13.5" hidden="1" thickBot="1">
      <c r="B1630" s="625" t="s">
        <v>187</v>
      </c>
      <c r="C1630" s="401" t="s">
        <v>187</v>
      </c>
      <c r="D1630" s="410"/>
      <c r="E1630" s="403"/>
      <c r="F1630" s="411"/>
      <c r="G1630" s="405"/>
      <c r="H1630" s="404"/>
      <c r="I1630" s="406"/>
      <c r="J1630" s="407"/>
      <c r="K1630" s="617">
        <f t="shared" si="311"/>
        <v>0</v>
      </c>
      <c r="L1630" s="409" t="s">
        <v>777</v>
      </c>
      <c r="M1630" s="30"/>
      <c r="N1630" s="30"/>
      <c r="O1630" s="287">
        <f t="shared" si="314"/>
        <v>0</v>
      </c>
      <c r="P1630" s="287">
        <f t="shared" si="313"/>
        <v>0</v>
      </c>
      <c r="Q1630" s="288"/>
      <c r="R1630" s="243"/>
      <c r="S1630" s="385" t="str">
        <f t="shared" si="310"/>
        <v/>
      </c>
    </row>
    <row r="1631" spans="2:19" ht="13.5" hidden="1" thickBot="1">
      <c r="B1631" s="625" t="s">
        <v>187</v>
      </c>
      <c r="C1631" s="401" t="s">
        <v>187</v>
      </c>
      <c r="D1631" s="410"/>
      <c r="E1631" s="403"/>
      <c r="F1631" s="411"/>
      <c r="G1631" s="405"/>
      <c r="H1631" s="404"/>
      <c r="I1631" s="406"/>
      <c r="J1631" s="407"/>
      <c r="K1631" s="617">
        <f t="shared" si="311"/>
        <v>0</v>
      </c>
      <c r="L1631" s="409" t="s">
        <v>777</v>
      </c>
      <c r="M1631" s="30"/>
      <c r="N1631" s="30"/>
      <c r="O1631" s="287">
        <f t="shared" si="314"/>
        <v>0</v>
      </c>
      <c r="P1631" s="287">
        <f t="shared" si="313"/>
        <v>0</v>
      </c>
      <c r="Q1631" s="288"/>
      <c r="R1631" s="243"/>
      <c r="S1631" s="385" t="str">
        <f t="shared" si="310"/>
        <v/>
      </c>
    </row>
    <row r="1632" spans="2:19" ht="13.5" hidden="1" thickBot="1">
      <c r="B1632" s="625" t="s">
        <v>187</v>
      </c>
      <c r="C1632" s="401" t="s">
        <v>187</v>
      </c>
      <c r="D1632" s="410"/>
      <c r="E1632" s="403"/>
      <c r="F1632" s="411"/>
      <c r="G1632" s="405"/>
      <c r="H1632" s="404"/>
      <c r="I1632" s="406"/>
      <c r="J1632" s="407"/>
      <c r="K1632" s="617">
        <f t="shared" si="311"/>
        <v>0</v>
      </c>
      <c r="L1632" s="409" t="s">
        <v>777</v>
      </c>
      <c r="M1632" s="30"/>
      <c r="N1632" s="30"/>
      <c r="O1632" s="287">
        <f t="shared" si="314"/>
        <v>0</v>
      </c>
      <c r="P1632" s="287">
        <f t="shared" si="313"/>
        <v>0</v>
      </c>
      <c r="Q1632" s="288"/>
      <c r="R1632" s="243"/>
      <c r="S1632" s="385" t="str">
        <f t="shared" si="310"/>
        <v/>
      </c>
    </row>
    <row r="1633" spans="2:19" ht="13.5" hidden="1" thickBot="1">
      <c r="B1633" s="625" t="s">
        <v>187</v>
      </c>
      <c r="C1633" s="401" t="s">
        <v>187</v>
      </c>
      <c r="D1633" s="410"/>
      <c r="E1633" s="403"/>
      <c r="F1633" s="411"/>
      <c r="G1633" s="405"/>
      <c r="H1633" s="404"/>
      <c r="I1633" s="406"/>
      <c r="J1633" s="407"/>
      <c r="K1633" s="617">
        <f t="shared" si="311"/>
        <v>0</v>
      </c>
      <c r="L1633" s="409" t="s">
        <v>777</v>
      </c>
      <c r="M1633" s="30"/>
      <c r="N1633" s="30"/>
      <c r="O1633" s="287">
        <f t="shared" si="314"/>
        <v>0</v>
      </c>
      <c r="P1633" s="287">
        <f t="shared" si="313"/>
        <v>0</v>
      </c>
      <c r="Q1633" s="288"/>
      <c r="R1633" s="243"/>
      <c r="S1633" s="385" t="str">
        <f t="shared" si="310"/>
        <v/>
      </c>
    </row>
    <row r="1634" spans="2:19" ht="13.5" hidden="1" thickBot="1">
      <c r="B1634" s="625" t="s">
        <v>187</v>
      </c>
      <c r="C1634" s="401" t="s">
        <v>187</v>
      </c>
      <c r="D1634" s="410"/>
      <c r="E1634" s="403"/>
      <c r="F1634" s="411"/>
      <c r="G1634" s="405"/>
      <c r="H1634" s="404"/>
      <c r="I1634" s="406"/>
      <c r="J1634" s="407"/>
      <c r="K1634" s="617">
        <f t="shared" si="311"/>
        <v>0</v>
      </c>
      <c r="L1634" s="409" t="s">
        <v>777</v>
      </c>
      <c r="M1634" s="30"/>
      <c r="N1634" s="30"/>
      <c r="O1634" s="287">
        <f t="shared" si="314"/>
        <v>0</v>
      </c>
      <c r="P1634" s="287">
        <f t="shared" si="313"/>
        <v>0</v>
      </c>
      <c r="Q1634" s="288"/>
      <c r="R1634" s="243"/>
      <c r="S1634" s="385" t="str">
        <f t="shared" si="310"/>
        <v/>
      </c>
    </row>
    <row r="1635" spans="2:19" ht="13.5" hidden="1" thickBot="1">
      <c r="B1635" s="625" t="s">
        <v>187</v>
      </c>
      <c r="C1635" s="401" t="s">
        <v>187</v>
      </c>
      <c r="D1635" s="410"/>
      <c r="E1635" s="403"/>
      <c r="F1635" s="411"/>
      <c r="G1635" s="405"/>
      <c r="H1635" s="404"/>
      <c r="I1635" s="406"/>
      <c r="J1635" s="407"/>
      <c r="K1635" s="617">
        <f t="shared" si="311"/>
        <v>0</v>
      </c>
      <c r="L1635" s="409" t="s">
        <v>777</v>
      </c>
      <c r="M1635" s="30"/>
      <c r="N1635" s="30"/>
      <c r="O1635" s="287">
        <f t="shared" si="314"/>
        <v>0</v>
      </c>
      <c r="P1635" s="287">
        <f t="shared" si="313"/>
        <v>0</v>
      </c>
      <c r="Q1635" s="288"/>
      <c r="R1635" s="243"/>
      <c r="S1635" s="385" t="str">
        <f t="shared" si="310"/>
        <v/>
      </c>
    </row>
    <row r="1636" spans="2:19" ht="13.5" hidden="1" thickBot="1">
      <c r="B1636" s="625" t="s">
        <v>187</v>
      </c>
      <c r="C1636" s="401" t="s">
        <v>187</v>
      </c>
      <c r="D1636" s="410"/>
      <c r="E1636" s="403"/>
      <c r="F1636" s="411"/>
      <c r="G1636" s="405"/>
      <c r="H1636" s="404"/>
      <c r="I1636" s="406"/>
      <c r="J1636" s="407"/>
      <c r="K1636" s="617">
        <f t="shared" si="311"/>
        <v>0</v>
      </c>
      <c r="L1636" s="409" t="s">
        <v>777</v>
      </c>
      <c r="M1636" s="30"/>
      <c r="N1636" s="30"/>
      <c r="O1636" s="287">
        <f t="shared" si="314"/>
        <v>0</v>
      </c>
      <c r="P1636" s="287">
        <f t="shared" si="313"/>
        <v>0</v>
      </c>
      <c r="Q1636" s="288"/>
      <c r="R1636" s="243"/>
      <c r="S1636" s="385" t="str">
        <f t="shared" si="310"/>
        <v/>
      </c>
    </row>
    <row r="1637" spans="2:19" ht="13.5" hidden="1" thickBot="1">
      <c r="B1637" s="625" t="s">
        <v>187</v>
      </c>
      <c r="C1637" s="401" t="s">
        <v>187</v>
      </c>
      <c r="D1637" s="410"/>
      <c r="E1637" s="403"/>
      <c r="F1637" s="411"/>
      <c r="G1637" s="405"/>
      <c r="H1637" s="404"/>
      <c r="I1637" s="406"/>
      <c r="J1637" s="407"/>
      <c r="K1637" s="617">
        <f t="shared" si="311"/>
        <v>0</v>
      </c>
      <c r="L1637" s="409" t="s">
        <v>777</v>
      </c>
      <c r="M1637" s="30"/>
      <c r="N1637" s="30"/>
      <c r="O1637" s="287">
        <f t="shared" si="314"/>
        <v>0</v>
      </c>
      <c r="P1637" s="287">
        <f t="shared" si="313"/>
        <v>0</v>
      </c>
      <c r="Q1637" s="288"/>
      <c r="R1637" s="243"/>
      <c r="S1637" s="385" t="str">
        <f t="shared" si="310"/>
        <v/>
      </c>
    </row>
    <row r="1638" spans="2:19" ht="13.5" hidden="1" thickBot="1">
      <c r="B1638" s="625" t="s">
        <v>187</v>
      </c>
      <c r="C1638" s="401" t="s">
        <v>187</v>
      </c>
      <c r="D1638" s="410"/>
      <c r="E1638" s="403"/>
      <c r="F1638" s="411"/>
      <c r="G1638" s="405"/>
      <c r="H1638" s="404"/>
      <c r="I1638" s="406"/>
      <c r="J1638" s="407"/>
      <c r="K1638" s="617">
        <f t="shared" si="311"/>
        <v>0</v>
      </c>
      <c r="L1638" s="409" t="s">
        <v>777</v>
      </c>
      <c r="M1638" s="30"/>
      <c r="N1638" s="30"/>
      <c r="O1638" s="287">
        <f t="shared" si="314"/>
        <v>0</v>
      </c>
      <c r="P1638" s="287">
        <f t="shared" si="313"/>
        <v>0</v>
      </c>
      <c r="Q1638" s="288"/>
      <c r="R1638" s="243"/>
      <c r="S1638" s="385" t="str">
        <f t="shared" si="310"/>
        <v/>
      </c>
    </row>
    <row r="1639" spans="2:19" ht="13.5" hidden="1" thickBot="1">
      <c r="B1639" s="625" t="s">
        <v>187</v>
      </c>
      <c r="C1639" s="401" t="s">
        <v>187</v>
      </c>
      <c r="D1639" s="410"/>
      <c r="E1639" s="403"/>
      <c r="F1639" s="411"/>
      <c r="G1639" s="405"/>
      <c r="H1639" s="404"/>
      <c r="I1639" s="406"/>
      <c r="J1639" s="407"/>
      <c r="K1639" s="617">
        <f t="shared" si="311"/>
        <v>0</v>
      </c>
      <c r="L1639" s="409" t="s">
        <v>777</v>
      </c>
      <c r="M1639" s="30"/>
      <c r="N1639" s="30"/>
      <c r="O1639" s="287">
        <f t="shared" si="314"/>
        <v>0</v>
      </c>
      <c r="P1639" s="287">
        <f t="shared" si="313"/>
        <v>0</v>
      </c>
      <c r="Q1639" s="288"/>
      <c r="R1639" s="243"/>
      <c r="S1639" s="385" t="str">
        <f t="shared" si="310"/>
        <v/>
      </c>
    </row>
    <row r="1640" spans="2:19" ht="13.5" hidden="1" thickBot="1">
      <c r="B1640" s="625" t="s">
        <v>187</v>
      </c>
      <c r="C1640" s="401" t="s">
        <v>187</v>
      </c>
      <c r="D1640" s="410"/>
      <c r="E1640" s="403"/>
      <c r="F1640" s="411"/>
      <c r="G1640" s="405"/>
      <c r="H1640" s="404"/>
      <c r="I1640" s="406"/>
      <c r="J1640" s="407"/>
      <c r="K1640" s="617">
        <f t="shared" si="311"/>
        <v>0</v>
      </c>
      <c r="L1640" s="409" t="s">
        <v>777</v>
      </c>
      <c r="M1640" s="30"/>
      <c r="N1640" s="30"/>
      <c r="O1640" s="287">
        <f t="shared" si="314"/>
        <v>0</v>
      </c>
      <c r="P1640" s="287">
        <f t="shared" si="313"/>
        <v>0</v>
      </c>
      <c r="Q1640" s="288"/>
      <c r="R1640" s="243"/>
      <c r="S1640" s="385" t="str">
        <f t="shared" si="310"/>
        <v/>
      </c>
    </row>
    <row r="1641" spans="2:19" ht="13.5" hidden="1" thickBot="1">
      <c r="B1641" s="625" t="s">
        <v>187</v>
      </c>
      <c r="C1641" s="401" t="s">
        <v>187</v>
      </c>
      <c r="D1641" s="410"/>
      <c r="E1641" s="403"/>
      <c r="F1641" s="411"/>
      <c r="G1641" s="405"/>
      <c r="H1641" s="404"/>
      <c r="I1641" s="406"/>
      <c r="J1641" s="407"/>
      <c r="K1641" s="617">
        <f t="shared" si="311"/>
        <v>0</v>
      </c>
      <c r="L1641" s="409" t="s">
        <v>777</v>
      </c>
      <c r="M1641" s="30"/>
      <c r="N1641" s="30"/>
      <c r="O1641" s="287">
        <f t="shared" si="314"/>
        <v>0</v>
      </c>
      <c r="P1641" s="287">
        <f t="shared" si="313"/>
        <v>0</v>
      </c>
      <c r="Q1641" s="288"/>
      <c r="R1641" s="243"/>
      <c r="S1641" s="385" t="str">
        <f t="shared" si="310"/>
        <v/>
      </c>
    </row>
    <row r="1642" spans="2:19" ht="13.5" hidden="1" thickBot="1">
      <c r="B1642" s="625" t="s">
        <v>187</v>
      </c>
      <c r="C1642" s="401" t="s">
        <v>187</v>
      </c>
      <c r="D1642" s="410"/>
      <c r="E1642" s="403"/>
      <c r="F1642" s="411"/>
      <c r="G1642" s="405"/>
      <c r="H1642" s="404"/>
      <c r="I1642" s="406"/>
      <c r="J1642" s="407"/>
      <c r="K1642" s="617">
        <f t="shared" si="311"/>
        <v>0</v>
      </c>
      <c r="L1642" s="409" t="s">
        <v>777</v>
      </c>
      <c r="M1642" s="30"/>
      <c r="N1642" s="30"/>
      <c r="O1642" s="287">
        <f t="shared" si="314"/>
        <v>0</v>
      </c>
      <c r="P1642" s="287">
        <f t="shared" si="313"/>
        <v>0</v>
      </c>
      <c r="Q1642" s="288"/>
      <c r="R1642" s="243"/>
      <c r="S1642" s="385" t="str">
        <f t="shared" si="310"/>
        <v/>
      </c>
    </row>
    <row r="1643" spans="2:19" ht="13.5" hidden="1" thickBot="1">
      <c r="B1643" s="625" t="s">
        <v>187</v>
      </c>
      <c r="C1643" s="401" t="s">
        <v>187</v>
      </c>
      <c r="D1643" s="410"/>
      <c r="E1643" s="403"/>
      <c r="F1643" s="411"/>
      <c r="G1643" s="405"/>
      <c r="H1643" s="404"/>
      <c r="I1643" s="406"/>
      <c r="J1643" s="407"/>
      <c r="K1643" s="617">
        <f t="shared" si="311"/>
        <v>0</v>
      </c>
      <c r="L1643" s="409" t="s">
        <v>777</v>
      </c>
      <c r="M1643" s="30"/>
      <c r="N1643" s="30"/>
      <c r="O1643" s="287">
        <f t="shared" si="314"/>
        <v>0</v>
      </c>
      <c r="P1643" s="287">
        <f t="shared" si="313"/>
        <v>0</v>
      </c>
      <c r="Q1643" s="288"/>
      <c r="R1643" s="243"/>
      <c r="S1643" s="385" t="str">
        <f t="shared" si="310"/>
        <v/>
      </c>
    </row>
    <row r="1644" spans="2:19" ht="13.5" hidden="1" thickBot="1">
      <c r="B1644" s="626" t="s">
        <v>187</v>
      </c>
      <c r="C1644" s="413" t="s">
        <v>187</v>
      </c>
      <c r="D1644" s="414"/>
      <c r="E1644" s="415"/>
      <c r="F1644" s="416"/>
      <c r="G1644" s="417"/>
      <c r="H1644" s="418"/>
      <c r="I1644" s="419"/>
      <c r="J1644" s="420"/>
      <c r="K1644" s="618">
        <f t="shared" si="311"/>
        <v>0</v>
      </c>
      <c r="L1644" s="422" t="s">
        <v>777</v>
      </c>
      <c r="M1644" s="30"/>
      <c r="N1644" s="30"/>
      <c r="O1644" s="423">
        <f t="shared" si="314"/>
        <v>0</v>
      </c>
      <c r="P1644" s="423">
        <f t="shared" si="313"/>
        <v>0</v>
      </c>
      <c r="Q1644" s="288"/>
      <c r="R1644" s="243"/>
      <c r="S1644" s="385" t="str">
        <f t="shared" si="310"/>
        <v/>
      </c>
    </row>
    <row r="1645" spans="2:19" ht="13.5" hidden="1" thickBot="1">
      <c r="B1645" s="627" t="s">
        <v>502</v>
      </c>
      <c r="C1645" s="684"/>
      <c r="D1645" s="685" t="s">
        <v>503</v>
      </c>
      <c r="E1645" s="679"/>
      <c r="F1645" s="665"/>
      <c r="G1645" s="666"/>
      <c r="H1645" s="667"/>
      <c r="I1645" s="619"/>
      <c r="J1645" s="619"/>
      <c r="K1645" s="619"/>
      <c r="L1645" s="383" t="s">
        <v>777</v>
      </c>
      <c r="M1645" s="382"/>
      <c r="N1645" s="383"/>
      <c r="O1645" s="383"/>
      <c r="P1645" s="295"/>
      <c r="Q1645" s="296">
        <f>SUM(P1646:P1739)</f>
        <v>0</v>
      </c>
      <c r="R1645" s="315" t="str">
        <f>IF(Q1645&gt;0,"xy","")</f>
        <v/>
      </c>
      <c r="S1645" s="385" t="str">
        <f t="shared" si="310"/>
        <v/>
      </c>
    </row>
    <row r="1646" spans="2:19" ht="13.5" hidden="1" thickBot="1">
      <c r="B1646" s="609">
        <v>850000</v>
      </c>
      <c r="C1646" s="610" t="s">
        <v>212</v>
      </c>
      <c r="D1646" s="611" t="s">
        <v>307</v>
      </c>
      <c r="E1646" s="602"/>
      <c r="F1646" s="639">
        <v>20</v>
      </c>
      <c r="G1646" s="604">
        <v>1.73</v>
      </c>
      <c r="H1646" s="605">
        <f>IF(F1646=0,0,IF(F1646&lt;=30,(0.7*F1646+1.45)*G1646,((0.7*30+1.45)+0.58*(F1646-30))*G1646))</f>
        <v>26.728499999999997</v>
      </c>
      <c r="I1646" s="675">
        <v>5952.2999999999993</v>
      </c>
      <c r="J1646" s="675">
        <f t="shared" ref="J1646:J1654" si="315">IF(ISBLANK(I1646),"",SUM(H1646:I1646))</f>
        <v>5979.0284999999994</v>
      </c>
      <c r="K1646" s="606">
        <f t="shared" ref="K1646:K1706" si="316">IF(ISBLANK(I1646),0,ROUND(J1646*(1+$F$10)*(1+$F$11*E1646),2))</f>
        <v>7255.55</v>
      </c>
      <c r="L1646" s="389" t="s">
        <v>21</v>
      </c>
      <c r="M1646" s="30"/>
      <c r="N1646" s="30"/>
      <c r="O1646" s="287">
        <f t="shared" ref="O1646:O1703" si="317">IF(ISBLANK(M1646),0,ROUND(K1646*M1646,2))</f>
        <v>0</v>
      </c>
      <c r="P1646" s="287">
        <f t="shared" ref="P1646:P1703" si="318">IF(ISBLANK(N1646),0,ROUND(M1646*N1646,2))</f>
        <v>0</v>
      </c>
      <c r="Q1646" s="288"/>
      <c r="R1646" s="243"/>
      <c r="S1646" s="385" t="str">
        <f t="shared" si="310"/>
        <v/>
      </c>
    </row>
    <row r="1647" spans="2:19" ht="13.5" hidden="1" thickBot="1">
      <c r="B1647" s="609" t="s">
        <v>1991</v>
      </c>
      <c r="C1647" s="610" t="s">
        <v>212</v>
      </c>
      <c r="D1647" s="611" t="s">
        <v>289</v>
      </c>
      <c r="E1647" s="602"/>
      <c r="F1647" s="603"/>
      <c r="G1647" s="604"/>
      <c r="H1647" s="605">
        <f>IF(F1647&lt;=30,(0.51*F1647+4.28)*G1647,((0.51*30+4.28)+0.42*(F1647-30))*G1647)</f>
        <v>0</v>
      </c>
      <c r="I1647" s="675">
        <v>18.079999999999998</v>
      </c>
      <c r="J1647" s="675">
        <f t="shared" si="315"/>
        <v>18.079999999999998</v>
      </c>
      <c r="K1647" s="606">
        <f t="shared" si="316"/>
        <v>21.94</v>
      </c>
      <c r="L1647" s="389" t="s">
        <v>23</v>
      </c>
      <c r="M1647" s="30"/>
      <c r="N1647" s="30"/>
      <c r="O1647" s="287">
        <f t="shared" si="317"/>
        <v>0</v>
      </c>
      <c r="P1647" s="287">
        <f t="shared" si="318"/>
        <v>0</v>
      </c>
      <c r="Q1647" s="288"/>
      <c r="R1647" s="243"/>
      <c r="S1647" s="385" t="str">
        <f t="shared" si="310"/>
        <v/>
      </c>
    </row>
    <row r="1648" spans="2:19" ht="13.5" hidden="1" thickBot="1">
      <c r="B1648" s="609" t="s">
        <v>1994</v>
      </c>
      <c r="C1648" s="610" t="s">
        <v>212</v>
      </c>
      <c r="D1648" s="611" t="s">
        <v>290</v>
      </c>
      <c r="E1648" s="602"/>
      <c r="F1648" s="603"/>
      <c r="G1648" s="604"/>
      <c r="H1648" s="605">
        <f>IF(F1648=0,0,IF(F1648&lt;=30,(0.7*F1648+1.45)*G1648,((0.7*30+1.45)+0.58*(F1648-30))*G1648))</f>
        <v>0</v>
      </c>
      <c r="I1648" s="675">
        <v>19.34</v>
      </c>
      <c r="J1648" s="675">
        <f t="shared" si="315"/>
        <v>19.34</v>
      </c>
      <c r="K1648" s="606">
        <f t="shared" si="316"/>
        <v>23.47</v>
      </c>
      <c r="L1648" s="389" t="s">
        <v>23</v>
      </c>
      <c r="M1648" s="30"/>
      <c r="N1648" s="30"/>
      <c r="O1648" s="287">
        <f t="shared" si="317"/>
        <v>0</v>
      </c>
      <c r="P1648" s="287">
        <f t="shared" si="318"/>
        <v>0</v>
      </c>
      <c r="Q1648" s="288"/>
      <c r="R1648" s="243"/>
      <c r="S1648" s="385" t="str">
        <f t="shared" si="310"/>
        <v/>
      </c>
    </row>
    <row r="1649" spans="2:19" ht="13.5" hidden="1" thickBot="1">
      <c r="B1649" s="609" t="s">
        <v>1986</v>
      </c>
      <c r="C1649" s="610" t="s">
        <v>212</v>
      </c>
      <c r="D1649" s="611" t="s">
        <v>352</v>
      </c>
      <c r="E1649" s="602"/>
      <c r="F1649" s="603"/>
      <c r="G1649" s="604"/>
      <c r="H1649" s="605"/>
      <c r="I1649" s="675">
        <v>45.66</v>
      </c>
      <c r="J1649" s="675">
        <f t="shared" si="315"/>
        <v>45.66</v>
      </c>
      <c r="K1649" s="606">
        <f t="shared" si="316"/>
        <v>55.41</v>
      </c>
      <c r="L1649" s="389" t="s">
        <v>16</v>
      </c>
      <c r="M1649" s="30"/>
      <c r="N1649" s="30"/>
      <c r="O1649" s="287">
        <f t="shared" si="317"/>
        <v>0</v>
      </c>
      <c r="P1649" s="287">
        <f t="shared" si="318"/>
        <v>0</v>
      </c>
      <c r="Q1649" s="288"/>
      <c r="R1649" s="243"/>
      <c r="S1649" s="385" t="str">
        <f t="shared" si="310"/>
        <v/>
      </c>
    </row>
    <row r="1650" spans="2:19" ht="13.5" hidden="1" thickBot="1">
      <c r="B1650" s="609" t="s">
        <v>1794</v>
      </c>
      <c r="C1650" s="610" t="s">
        <v>212</v>
      </c>
      <c r="D1650" s="611" t="s">
        <v>298</v>
      </c>
      <c r="E1650" s="602"/>
      <c r="F1650" s="639">
        <v>0.5</v>
      </c>
      <c r="G1650" s="673">
        <f>1.5*1.4</f>
        <v>2.0999999999999996</v>
      </c>
      <c r="H1650" s="608">
        <f t="shared" ref="H1650" si="319">IF(F1650&lt;=30,(0.7*F1650+1.45)*G1650,((0.7*30+1.45)+0.58*(F1650-30))*G1650)</f>
        <v>3.7799999999999989</v>
      </c>
      <c r="I1650" s="686">
        <v>8.8219999999999992</v>
      </c>
      <c r="J1650" s="675">
        <f t="shared" si="315"/>
        <v>12.601999999999999</v>
      </c>
      <c r="K1650" s="606">
        <f t="shared" si="316"/>
        <v>15.29</v>
      </c>
      <c r="L1650" s="389" t="s">
        <v>16</v>
      </c>
      <c r="M1650" s="30"/>
      <c r="N1650" s="30"/>
      <c r="O1650" s="287">
        <f t="shared" si="317"/>
        <v>0</v>
      </c>
      <c r="P1650" s="287">
        <f t="shared" si="318"/>
        <v>0</v>
      </c>
      <c r="Q1650" s="288"/>
      <c r="R1650" s="243"/>
      <c r="S1650" s="385" t="str">
        <f t="shared" si="310"/>
        <v/>
      </c>
    </row>
    <row r="1651" spans="2:19" ht="13.5" hidden="1" thickBot="1">
      <c r="B1651" s="609" t="s">
        <v>1795</v>
      </c>
      <c r="C1651" s="610" t="s">
        <v>212</v>
      </c>
      <c r="D1651" s="611" t="s">
        <v>299</v>
      </c>
      <c r="E1651" s="602"/>
      <c r="F1651" s="639">
        <v>15</v>
      </c>
      <c r="G1651" s="673">
        <f>1.5*1.4</f>
        <v>2.0999999999999996</v>
      </c>
      <c r="H1651" s="605">
        <f t="shared" ref="H1651:H1653" si="320">IF(F1651=0,0,IF(F1651&lt;=30,(0.7*F1651+1.45)*G1651,((0.7*30+1.45)+0.58*(F1651-30))*G1651))</f>
        <v>25.094999999999995</v>
      </c>
      <c r="I1651" s="686">
        <v>8.8219999999999992</v>
      </c>
      <c r="J1651" s="675">
        <f t="shared" si="315"/>
        <v>33.916999999999994</v>
      </c>
      <c r="K1651" s="606">
        <f t="shared" si="316"/>
        <v>41.16</v>
      </c>
      <c r="L1651" s="389" t="s">
        <v>16</v>
      </c>
      <c r="M1651" s="30"/>
      <c r="N1651" s="30"/>
      <c r="O1651" s="287">
        <f t="shared" si="317"/>
        <v>0</v>
      </c>
      <c r="P1651" s="287">
        <f t="shared" si="318"/>
        <v>0</v>
      </c>
      <c r="Q1651" s="288"/>
      <c r="R1651" s="243"/>
      <c r="S1651" s="385" t="str">
        <f t="shared" si="310"/>
        <v/>
      </c>
    </row>
    <row r="1652" spans="2:19" ht="13.5" hidden="1" thickBot="1">
      <c r="B1652" s="609" t="s">
        <v>1928</v>
      </c>
      <c r="C1652" s="610" t="s">
        <v>212</v>
      </c>
      <c r="D1652" s="648" t="s">
        <v>357</v>
      </c>
      <c r="E1652" s="602"/>
      <c r="F1652" s="603">
        <v>20</v>
      </c>
      <c r="G1652" s="604">
        <v>1.7250000000000001</v>
      </c>
      <c r="H1652" s="605">
        <f t="shared" si="320"/>
        <v>26.651250000000001</v>
      </c>
      <c r="I1652" s="675">
        <v>64.550000000000011</v>
      </c>
      <c r="J1652" s="675">
        <f t="shared" si="315"/>
        <v>91.201250000000016</v>
      </c>
      <c r="K1652" s="606">
        <f t="shared" si="316"/>
        <v>110.67</v>
      </c>
      <c r="L1652" s="389" t="s">
        <v>16</v>
      </c>
      <c r="M1652" s="30"/>
      <c r="N1652" s="30"/>
      <c r="O1652" s="287">
        <f t="shared" si="317"/>
        <v>0</v>
      </c>
      <c r="P1652" s="287">
        <f t="shared" si="318"/>
        <v>0</v>
      </c>
      <c r="Q1652" s="288"/>
      <c r="R1652" s="243"/>
      <c r="S1652" s="385" t="str">
        <f t="shared" si="310"/>
        <v/>
      </c>
    </row>
    <row r="1653" spans="2:19" ht="13.5" hidden="1" thickBot="1">
      <c r="B1653" s="609" t="s">
        <v>1929</v>
      </c>
      <c r="C1653" s="610" t="s">
        <v>212</v>
      </c>
      <c r="D1653" s="648" t="s">
        <v>358</v>
      </c>
      <c r="E1653" s="602"/>
      <c r="F1653" s="603">
        <v>20</v>
      </c>
      <c r="G1653" s="604">
        <v>1.5</v>
      </c>
      <c r="H1653" s="605">
        <f t="shared" si="320"/>
        <v>23.174999999999997</v>
      </c>
      <c r="I1653" s="675">
        <v>107.99000000000001</v>
      </c>
      <c r="J1653" s="675">
        <f t="shared" si="315"/>
        <v>131.16500000000002</v>
      </c>
      <c r="K1653" s="606">
        <f t="shared" si="316"/>
        <v>159.16999999999999</v>
      </c>
      <c r="L1653" s="389" t="s">
        <v>16</v>
      </c>
      <c r="M1653" s="30"/>
      <c r="N1653" s="30"/>
      <c r="O1653" s="287">
        <f t="shared" si="317"/>
        <v>0</v>
      </c>
      <c r="P1653" s="287">
        <f t="shared" si="318"/>
        <v>0</v>
      </c>
      <c r="Q1653" s="288"/>
      <c r="R1653" s="243"/>
      <c r="S1653" s="385" t="str">
        <f t="shared" si="310"/>
        <v/>
      </c>
    </row>
    <row r="1654" spans="2:19" ht="13.5" hidden="1" thickBot="1">
      <c r="B1654" s="609" t="s">
        <v>2002</v>
      </c>
      <c r="C1654" s="610" t="s">
        <v>212</v>
      </c>
      <c r="D1654" s="611" t="s">
        <v>286</v>
      </c>
      <c r="E1654" s="602"/>
      <c r="F1654" s="603"/>
      <c r="G1654" s="604"/>
      <c r="H1654" s="605">
        <f>SUM(H1655:H1657)</f>
        <v>172.22290000000001</v>
      </c>
      <c r="I1654" s="675">
        <v>340.38</v>
      </c>
      <c r="J1654" s="675">
        <f t="shared" si="315"/>
        <v>512.60289999999998</v>
      </c>
      <c r="K1654" s="606">
        <f t="shared" si="316"/>
        <v>622.04</v>
      </c>
      <c r="L1654" s="389" t="s">
        <v>16</v>
      </c>
      <c r="M1654" s="30"/>
      <c r="N1654" s="30"/>
      <c r="O1654" s="287">
        <f t="shared" si="317"/>
        <v>0</v>
      </c>
      <c r="P1654" s="287">
        <f t="shared" si="318"/>
        <v>0</v>
      </c>
      <c r="Q1654" s="288"/>
      <c r="R1654" s="243"/>
      <c r="S1654" s="385" t="str">
        <f t="shared" si="310"/>
        <v/>
      </c>
    </row>
    <row r="1655" spans="2:19" ht="13.5" hidden="1" thickBot="1">
      <c r="B1655" s="609" t="s">
        <v>168</v>
      </c>
      <c r="C1655" s="610"/>
      <c r="D1655" s="648" t="s">
        <v>218</v>
      </c>
      <c r="E1655" s="602"/>
      <c r="F1655" s="603">
        <v>500</v>
      </c>
      <c r="G1655" s="604">
        <v>0.18</v>
      </c>
      <c r="H1655" s="605">
        <f>IF(F1655&lt;=30,(0.51*F1655+4.28)*G1655,((0.51*30+4.28)+0.42*(F1655-30))*G1655)</f>
        <v>39.056400000000004</v>
      </c>
      <c r="I1655" s="675">
        <v>0</v>
      </c>
      <c r="J1655" s="675"/>
      <c r="K1655" s="606">
        <f t="shared" si="316"/>
        <v>0</v>
      </c>
      <c r="L1655" s="389" t="s">
        <v>16</v>
      </c>
      <c r="M1655" s="30"/>
      <c r="N1655" s="30"/>
      <c r="O1655" s="287">
        <f t="shared" si="317"/>
        <v>0</v>
      </c>
      <c r="P1655" s="287">
        <f t="shared" si="318"/>
        <v>0</v>
      </c>
      <c r="Q1655" s="288"/>
      <c r="R1655" s="243"/>
      <c r="S1655" s="385" t="str">
        <f t="shared" si="310"/>
        <v/>
      </c>
    </row>
    <row r="1656" spans="2:19" ht="13.5" hidden="1" thickBot="1">
      <c r="B1656" s="609" t="s">
        <v>168</v>
      </c>
      <c r="C1656" s="610"/>
      <c r="D1656" s="648" t="s">
        <v>256</v>
      </c>
      <c r="E1656" s="602"/>
      <c r="F1656" s="603">
        <v>180</v>
      </c>
      <c r="G1656" s="604">
        <v>1.06</v>
      </c>
      <c r="H1656" s="608">
        <f t="shared" ref="H1656:H1660" si="321">IF(F1656&lt;=30,(0.7*F1656+1.45)*G1656,((0.7*30+1.45)+0.58*(F1656-30))*G1656)</f>
        <v>116.01700000000001</v>
      </c>
      <c r="I1656" s="675">
        <v>0</v>
      </c>
      <c r="J1656" s="675"/>
      <c r="K1656" s="606">
        <f t="shared" si="316"/>
        <v>0</v>
      </c>
      <c r="L1656" s="389" t="s">
        <v>16</v>
      </c>
      <c r="M1656" s="30"/>
      <c r="N1656" s="30"/>
      <c r="O1656" s="287">
        <f t="shared" si="317"/>
        <v>0</v>
      </c>
      <c r="P1656" s="287">
        <f t="shared" si="318"/>
        <v>0</v>
      </c>
      <c r="Q1656" s="288"/>
      <c r="R1656" s="243"/>
      <c r="S1656" s="385" t="str">
        <f t="shared" si="310"/>
        <v/>
      </c>
    </row>
    <row r="1657" spans="2:19" ht="13.5" hidden="1" thickBot="1">
      <c r="B1657" s="609" t="s">
        <v>168</v>
      </c>
      <c r="C1657" s="610"/>
      <c r="D1657" s="648" t="s">
        <v>260</v>
      </c>
      <c r="E1657" s="602"/>
      <c r="F1657" s="603">
        <v>20</v>
      </c>
      <c r="G1657" s="604">
        <v>1.1100000000000001</v>
      </c>
      <c r="H1657" s="608">
        <f t="shared" si="321"/>
        <v>17.1495</v>
      </c>
      <c r="I1657" s="675">
        <v>0</v>
      </c>
      <c r="J1657" s="675"/>
      <c r="K1657" s="606">
        <f t="shared" si="316"/>
        <v>0</v>
      </c>
      <c r="L1657" s="389" t="s">
        <v>16</v>
      </c>
      <c r="M1657" s="30"/>
      <c r="N1657" s="30"/>
      <c r="O1657" s="287">
        <f t="shared" si="317"/>
        <v>0</v>
      </c>
      <c r="P1657" s="287">
        <f t="shared" si="318"/>
        <v>0</v>
      </c>
      <c r="Q1657" s="288"/>
      <c r="R1657" s="243"/>
      <c r="S1657" s="385" t="str">
        <f t="shared" si="310"/>
        <v/>
      </c>
    </row>
    <row r="1658" spans="2:19" ht="13.5" hidden="1" thickBot="1">
      <c r="B1658" s="609" t="s">
        <v>1930</v>
      </c>
      <c r="C1658" s="610" t="s">
        <v>212</v>
      </c>
      <c r="D1658" s="611" t="s">
        <v>1922</v>
      </c>
      <c r="E1658" s="602"/>
      <c r="F1658" s="603">
        <v>20</v>
      </c>
      <c r="G1658" s="604">
        <v>1.73</v>
      </c>
      <c r="H1658" s="608">
        <f t="shared" si="321"/>
        <v>26.728499999999997</v>
      </c>
      <c r="I1658" s="675">
        <v>48.71</v>
      </c>
      <c r="J1658" s="675">
        <f t="shared" ref="J1658:J1660" si="322">IF(ISBLANK(I1658),"",SUM(H1658:I1658))</f>
        <v>75.438500000000005</v>
      </c>
      <c r="K1658" s="606">
        <f t="shared" si="316"/>
        <v>91.54</v>
      </c>
      <c r="L1658" s="389" t="s">
        <v>16</v>
      </c>
      <c r="M1658" s="30"/>
      <c r="N1658" s="30"/>
      <c r="O1658" s="287">
        <f t="shared" si="317"/>
        <v>0</v>
      </c>
      <c r="P1658" s="287">
        <f t="shared" si="318"/>
        <v>0</v>
      </c>
      <c r="Q1658" s="288"/>
      <c r="R1658" s="243"/>
      <c r="S1658" s="385" t="str">
        <f t="shared" si="310"/>
        <v/>
      </c>
    </row>
    <row r="1659" spans="2:19" ht="13.5" hidden="1" thickBot="1">
      <c r="B1659" s="609" t="s">
        <v>1931</v>
      </c>
      <c r="C1659" s="610" t="s">
        <v>212</v>
      </c>
      <c r="D1659" s="611" t="s">
        <v>1923</v>
      </c>
      <c r="E1659" s="602"/>
      <c r="F1659" s="603">
        <v>20</v>
      </c>
      <c r="G1659" s="604">
        <v>1.7250000000000001</v>
      </c>
      <c r="H1659" s="608">
        <f t="shared" si="321"/>
        <v>26.651250000000001</v>
      </c>
      <c r="I1659" s="675">
        <v>64.550000000000011</v>
      </c>
      <c r="J1659" s="675">
        <f t="shared" si="322"/>
        <v>91.201250000000016</v>
      </c>
      <c r="K1659" s="606">
        <f t="shared" si="316"/>
        <v>110.67</v>
      </c>
      <c r="L1659" s="389" t="s">
        <v>16</v>
      </c>
      <c r="M1659" s="30"/>
      <c r="N1659" s="30"/>
      <c r="O1659" s="287">
        <f t="shared" si="317"/>
        <v>0</v>
      </c>
      <c r="P1659" s="287">
        <f t="shared" si="318"/>
        <v>0</v>
      </c>
      <c r="Q1659" s="288"/>
      <c r="R1659" s="243"/>
      <c r="S1659" s="385" t="str">
        <f t="shared" si="310"/>
        <v/>
      </c>
    </row>
    <row r="1660" spans="2:19" ht="13.5" hidden="1" thickBot="1">
      <c r="B1660" s="609" t="s">
        <v>1799</v>
      </c>
      <c r="C1660" s="610" t="s">
        <v>212</v>
      </c>
      <c r="D1660" s="611" t="s">
        <v>1924</v>
      </c>
      <c r="E1660" s="602"/>
      <c r="F1660" s="639">
        <v>15</v>
      </c>
      <c r="G1660" s="604">
        <f>ROUND(1.5*1.5,4)</f>
        <v>2.25</v>
      </c>
      <c r="H1660" s="608">
        <f t="shared" si="321"/>
        <v>26.887499999999999</v>
      </c>
      <c r="I1660" s="675">
        <v>12.666666666666668</v>
      </c>
      <c r="J1660" s="675">
        <f t="shared" si="322"/>
        <v>39.554166666666667</v>
      </c>
      <c r="K1660" s="606">
        <f t="shared" si="316"/>
        <v>48</v>
      </c>
      <c r="L1660" s="389" t="s">
        <v>16</v>
      </c>
      <c r="M1660" s="30"/>
      <c r="N1660" s="30"/>
      <c r="O1660" s="287">
        <f t="shared" si="317"/>
        <v>0</v>
      </c>
      <c r="P1660" s="287">
        <f t="shared" si="318"/>
        <v>0</v>
      </c>
      <c r="Q1660" s="288"/>
      <c r="R1660" s="243"/>
      <c r="S1660" s="385" t="str">
        <f t="shared" si="310"/>
        <v/>
      </c>
    </row>
    <row r="1661" spans="2:19" ht="13.5" hidden="1" thickBot="1">
      <c r="B1661" s="609" t="s">
        <v>1932</v>
      </c>
      <c r="C1661" s="610" t="s">
        <v>212</v>
      </c>
      <c r="D1661" s="611" t="s">
        <v>1925</v>
      </c>
      <c r="E1661" s="602"/>
      <c r="F1661" s="603">
        <v>20</v>
      </c>
      <c r="G1661" s="604">
        <v>1.5</v>
      </c>
      <c r="H1661" s="605">
        <f t="shared" ref="H1661" si="323">IF(F1661=0,0,IF(F1661&lt;=30,(0.7*F1661+1.45)*G1661,((0.7*30+1.45)+0.58*(F1661-30))*G1661))</f>
        <v>23.174999999999997</v>
      </c>
      <c r="I1661" s="675">
        <v>107.99</v>
      </c>
      <c r="J1661" s="675">
        <f>IF(ISBLANK(I1661),"",SUM(H1661:I1661))</f>
        <v>131.16499999999999</v>
      </c>
      <c r="K1661" s="606">
        <f t="shared" si="316"/>
        <v>159.16999999999999</v>
      </c>
      <c r="L1661" s="389" t="s">
        <v>16</v>
      </c>
      <c r="M1661" s="30"/>
      <c r="N1661" s="30"/>
      <c r="O1661" s="287">
        <f t="shared" si="317"/>
        <v>0</v>
      </c>
      <c r="P1661" s="287">
        <f t="shared" si="318"/>
        <v>0</v>
      </c>
      <c r="Q1661" s="288"/>
      <c r="R1661" s="243"/>
      <c r="S1661" s="385" t="str">
        <f t="shared" si="310"/>
        <v/>
      </c>
    </row>
    <row r="1662" spans="2:19" ht="13.5" hidden="1" thickBot="1">
      <c r="B1662" s="609" t="s">
        <v>2003</v>
      </c>
      <c r="C1662" s="610" t="s">
        <v>212</v>
      </c>
      <c r="D1662" s="611" t="s">
        <v>365</v>
      </c>
      <c r="E1662" s="602"/>
      <c r="F1662" s="603"/>
      <c r="G1662" s="604"/>
      <c r="H1662" s="605">
        <f>SUM(H1663:H1665)</f>
        <v>172.22290000000001</v>
      </c>
      <c r="I1662" s="675">
        <v>340.38</v>
      </c>
      <c r="J1662" s="675">
        <f>IF(ISBLANK(I1662),"",SUM(H1662:I1662))</f>
        <v>512.60289999999998</v>
      </c>
      <c r="K1662" s="606">
        <f t="shared" si="316"/>
        <v>622.04</v>
      </c>
      <c r="L1662" s="389" t="s">
        <v>16</v>
      </c>
      <c r="M1662" s="30"/>
      <c r="N1662" s="30"/>
      <c r="O1662" s="287">
        <f t="shared" si="317"/>
        <v>0</v>
      </c>
      <c r="P1662" s="287">
        <f t="shared" si="318"/>
        <v>0</v>
      </c>
      <c r="Q1662" s="288"/>
      <c r="R1662" s="243"/>
      <c r="S1662" s="385" t="str">
        <f t="shared" si="310"/>
        <v/>
      </c>
    </row>
    <row r="1663" spans="2:19" ht="13.5" hidden="1" thickBot="1">
      <c r="B1663" s="609" t="s">
        <v>168</v>
      </c>
      <c r="C1663" s="610"/>
      <c r="D1663" s="648" t="s">
        <v>218</v>
      </c>
      <c r="E1663" s="602"/>
      <c r="F1663" s="603">
        <v>500</v>
      </c>
      <c r="G1663" s="604">
        <v>0.18</v>
      </c>
      <c r="H1663" s="605">
        <f>IF(F1663&lt;=30,(0.51*F1663+4.28)*G1663,((0.51*30+4.28)+0.42*(F1663-30))*G1663)</f>
        <v>39.056400000000004</v>
      </c>
      <c r="I1663" s="675">
        <v>0</v>
      </c>
      <c r="J1663" s="675"/>
      <c r="K1663" s="606">
        <f t="shared" si="316"/>
        <v>0</v>
      </c>
      <c r="L1663" s="438" t="s">
        <v>777</v>
      </c>
      <c r="M1663" s="429"/>
      <c r="N1663" s="430"/>
      <c r="O1663" s="287">
        <f t="shared" si="317"/>
        <v>0</v>
      </c>
      <c r="P1663" s="287">
        <f t="shared" si="318"/>
        <v>0</v>
      </c>
      <c r="Q1663" s="288"/>
      <c r="R1663" s="315" t="str">
        <f>IF(P1662&gt;0,"xy","")</f>
        <v/>
      </c>
      <c r="S1663" s="385" t="str">
        <f t="shared" si="310"/>
        <v/>
      </c>
    </row>
    <row r="1664" spans="2:19" ht="13.5" hidden="1" thickBot="1">
      <c r="B1664" s="609" t="s">
        <v>168</v>
      </c>
      <c r="C1664" s="610"/>
      <c r="D1664" s="648" t="s">
        <v>256</v>
      </c>
      <c r="E1664" s="602"/>
      <c r="F1664" s="603">
        <v>180</v>
      </c>
      <c r="G1664" s="604">
        <v>1.06</v>
      </c>
      <c r="H1664" s="605">
        <f>IF(F1664=0,0,IF(F1664&lt;=30,(0.7*F1664+1.45)*G1664,((0.7*30+1.45)+0.58*(F1664-30))*G1664))</f>
        <v>116.01700000000001</v>
      </c>
      <c r="I1664" s="675">
        <v>0</v>
      </c>
      <c r="J1664" s="675"/>
      <c r="K1664" s="606">
        <f t="shared" si="316"/>
        <v>0</v>
      </c>
      <c r="L1664" s="438" t="s">
        <v>777</v>
      </c>
      <c r="M1664" s="429"/>
      <c r="N1664" s="430"/>
      <c r="O1664" s="287">
        <f t="shared" si="317"/>
        <v>0</v>
      </c>
      <c r="P1664" s="287">
        <f t="shared" si="318"/>
        <v>0</v>
      </c>
      <c r="Q1664" s="288"/>
      <c r="R1664" s="315" t="str">
        <f>IF(P1662&gt;0,"xy","")</f>
        <v/>
      </c>
      <c r="S1664" s="385" t="str">
        <f t="shared" si="310"/>
        <v/>
      </c>
    </row>
    <row r="1665" spans="2:19" ht="13.5" hidden="1" thickBot="1">
      <c r="B1665" s="609" t="s">
        <v>168</v>
      </c>
      <c r="C1665" s="610"/>
      <c r="D1665" s="648" t="s">
        <v>260</v>
      </c>
      <c r="E1665" s="602"/>
      <c r="F1665" s="603">
        <v>20</v>
      </c>
      <c r="G1665" s="604">
        <v>1.1100000000000001</v>
      </c>
      <c r="H1665" s="605">
        <f>IF(F1665=0,0,IF(F1665&lt;=30,(0.7*F1665+1.45)*G1665,((0.7*30+1.45)+0.58*(F1665-30))*G1665))</f>
        <v>17.1495</v>
      </c>
      <c r="I1665" s="675">
        <v>0</v>
      </c>
      <c r="J1665" s="675"/>
      <c r="K1665" s="606">
        <f t="shared" si="316"/>
        <v>0</v>
      </c>
      <c r="L1665" s="438" t="s">
        <v>777</v>
      </c>
      <c r="M1665" s="429"/>
      <c r="N1665" s="430"/>
      <c r="O1665" s="287">
        <f t="shared" si="317"/>
        <v>0</v>
      </c>
      <c r="P1665" s="287">
        <f t="shared" si="318"/>
        <v>0</v>
      </c>
      <c r="Q1665" s="288"/>
      <c r="R1665" s="315" t="str">
        <f>IF(P1662&gt;0,"xy","")</f>
        <v/>
      </c>
      <c r="S1665" s="385" t="str">
        <f t="shared" si="310"/>
        <v/>
      </c>
    </row>
    <row r="1666" spans="2:19" ht="13.5" hidden="1" thickBot="1">
      <c r="B1666" s="609" t="s">
        <v>2017</v>
      </c>
      <c r="C1666" s="610" t="s">
        <v>212</v>
      </c>
      <c r="D1666" s="611" t="s">
        <v>366</v>
      </c>
      <c r="E1666" s="602"/>
      <c r="F1666" s="603"/>
      <c r="G1666" s="604"/>
      <c r="H1666" s="605">
        <f>SUM(H1667:H1669)</f>
        <v>133.51677000000004</v>
      </c>
      <c r="I1666" s="675">
        <v>306.45</v>
      </c>
      <c r="J1666" s="675">
        <f>IF(ISBLANK(I1666),"",SUM(H1666:I1666))</f>
        <v>439.96677</v>
      </c>
      <c r="K1666" s="606">
        <f t="shared" si="316"/>
        <v>533.9</v>
      </c>
      <c r="L1666" s="389" t="s">
        <v>16</v>
      </c>
      <c r="M1666" s="30"/>
      <c r="N1666" s="30"/>
      <c r="O1666" s="287">
        <f t="shared" si="317"/>
        <v>0</v>
      </c>
      <c r="P1666" s="287">
        <f t="shared" si="318"/>
        <v>0</v>
      </c>
      <c r="Q1666" s="288"/>
      <c r="R1666" s="243"/>
      <c r="S1666" s="385" t="str">
        <f t="shared" ref="S1666:S1729" si="324">IF(R1666="x","x",IF(R1666="y","x",IF(R1666="xy","x",IF(P1666&gt;0,"x",""))))</f>
        <v/>
      </c>
    </row>
    <row r="1667" spans="2:19" ht="13.5" hidden="1" thickBot="1">
      <c r="B1667" s="609" t="s">
        <v>168</v>
      </c>
      <c r="C1667" s="610"/>
      <c r="D1667" s="648" t="s">
        <v>218</v>
      </c>
      <c r="E1667" s="602"/>
      <c r="F1667" s="603">
        <v>500</v>
      </c>
      <c r="G1667" s="604">
        <v>0.189</v>
      </c>
      <c r="H1667" s="605">
        <f>IF(F1667&lt;=30,(0.51*F1667+4.28)*G1667,((0.51*30+4.28)+0.42*(F1667-30))*G1667)</f>
        <v>41.009220000000006</v>
      </c>
      <c r="I1667" s="675">
        <v>0</v>
      </c>
      <c r="J1667" s="675"/>
      <c r="K1667" s="606">
        <f t="shared" si="316"/>
        <v>0</v>
      </c>
      <c r="L1667" s="438" t="s">
        <v>777</v>
      </c>
      <c r="M1667" s="429"/>
      <c r="N1667" s="430"/>
      <c r="O1667" s="287">
        <f t="shared" si="317"/>
        <v>0</v>
      </c>
      <c r="P1667" s="287">
        <f t="shared" si="318"/>
        <v>0</v>
      </c>
      <c r="Q1667" s="288"/>
      <c r="R1667" s="315" t="str">
        <f>IF(P1666&gt;0,"xy","")</f>
        <v/>
      </c>
      <c r="S1667" s="385" t="str">
        <f t="shared" si="324"/>
        <v/>
      </c>
    </row>
    <row r="1668" spans="2:19" ht="13.5" hidden="1" thickBot="1">
      <c r="B1668" s="609" t="s">
        <v>168</v>
      </c>
      <c r="C1668" s="610"/>
      <c r="D1668" s="648" t="s">
        <v>256</v>
      </c>
      <c r="E1668" s="602"/>
      <c r="F1668" s="603">
        <v>180</v>
      </c>
      <c r="G1668" s="604">
        <v>0.67200000000000004</v>
      </c>
      <c r="H1668" s="605">
        <f>IF(F1668=0,0,IF(F1668&lt;=30,(0.7*F1668+1.45)*G1668,((0.7*30+1.45)+0.58*(F1668-30))*G1668))</f>
        <v>73.55040000000001</v>
      </c>
      <c r="I1668" s="675">
        <v>0</v>
      </c>
      <c r="J1668" s="675"/>
      <c r="K1668" s="606">
        <f t="shared" si="316"/>
        <v>0</v>
      </c>
      <c r="L1668" s="438" t="s">
        <v>777</v>
      </c>
      <c r="M1668" s="429"/>
      <c r="N1668" s="430"/>
      <c r="O1668" s="287">
        <f t="shared" si="317"/>
        <v>0</v>
      </c>
      <c r="P1668" s="287">
        <f t="shared" si="318"/>
        <v>0</v>
      </c>
      <c r="Q1668" s="288"/>
      <c r="R1668" s="315" t="str">
        <f>IF(P1666&gt;0,"xy","")</f>
        <v/>
      </c>
      <c r="S1668" s="385" t="str">
        <f t="shared" si="324"/>
        <v/>
      </c>
    </row>
    <row r="1669" spans="2:19" ht="13.5" hidden="1" thickBot="1">
      <c r="B1669" s="609" t="s">
        <v>168</v>
      </c>
      <c r="C1669" s="610"/>
      <c r="D1669" s="648" t="s">
        <v>367</v>
      </c>
      <c r="E1669" s="602"/>
      <c r="F1669" s="603">
        <v>20</v>
      </c>
      <c r="G1669" s="604">
        <v>1.2270000000000001</v>
      </c>
      <c r="H1669" s="605">
        <f>IF(F1669=0,0,IF(F1669&lt;=30,(0.7*F1669+1.45)*G1669,((0.7*30+1.45)+0.58*(F1669-30))*G1669))</f>
        <v>18.957150000000002</v>
      </c>
      <c r="I1669" s="675">
        <v>0</v>
      </c>
      <c r="J1669" s="675"/>
      <c r="K1669" s="606">
        <f t="shared" si="316"/>
        <v>0</v>
      </c>
      <c r="L1669" s="438" t="s">
        <v>777</v>
      </c>
      <c r="M1669" s="429"/>
      <c r="N1669" s="430"/>
      <c r="O1669" s="287">
        <f t="shared" si="317"/>
        <v>0</v>
      </c>
      <c r="P1669" s="287">
        <f t="shared" si="318"/>
        <v>0</v>
      </c>
      <c r="Q1669" s="288"/>
      <c r="R1669" s="315" t="str">
        <f>IF(P1666&gt;0,"xy","")</f>
        <v/>
      </c>
      <c r="S1669" s="385" t="str">
        <f t="shared" si="324"/>
        <v/>
      </c>
    </row>
    <row r="1670" spans="2:19" ht="13.5" hidden="1" thickBot="1">
      <c r="B1670" s="609" t="s">
        <v>2019</v>
      </c>
      <c r="C1670" s="610" t="s">
        <v>212</v>
      </c>
      <c r="D1670" s="611" t="s">
        <v>368</v>
      </c>
      <c r="E1670" s="602"/>
      <c r="F1670" s="603"/>
      <c r="G1670" s="604"/>
      <c r="H1670" s="605">
        <f>SUM(H1671:H1673)</f>
        <v>180.80610000000001</v>
      </c>
      <c r="I1670" s="675">
        <v>378.52</v>
      </c>
      <c r="J1670" s="675">
        <f>IF(ISBLANK(I1670),"",SUM(H1670:I1670))</f>
        <v>559.3261</v>
      </c>
      <c r="K1670" s="606">
        <f t="shared" si="316"/>
        <v>678.74</v>
      </c>
      <c r="L1670" s="389" t="s">
        <v>16</v>
      </c>
      <c r="M1670" s="30"/>
      <c r="N1670" s="30"/>
      <c r="O1670" s="287">
        <f t="shared" si="317"/>
        <v>0</v>
      </c>
      <c r="P1670" s="287">
        <f t="shared" si="318"/>
        <v>0</v>
      </c>
      <c r="Q1670" s="288"/>
      <c r="R1670" s="243"/>
      <c r="S1670" s="385" t="str">
        <f t="shared" si="324"/>
        <v/>
      </c>
    </row>
    <row r="1671" spans="2:19" ht="13.5" hidden="1" thickBot="1">
      <c r="B1671" s="609" t="s">
        <v>168</v>
      </c>
      <c r="C1671" s="610"/>
      <c r="D1671" s="648" t="s">
        <v>218</v>
      </c>
      <c r="E1671" s="602"/>
      <c r="F1671" s="603">
        <v>500</v>
      </c>
      <c r="G1671" s="604">
        <v>0.27</v>
      </c>
      <c r="H1671" s="605">
        <f>IF(F1671&lt;=30,(0.51*F1671+4.28)*G1671,((0.51*30+4.28)+0.42*(F1671-30))*G1671)</f>
        <v>58.584600000000009</v>
      </c>
      <c r="I1671" s="675">
        <v>0</v>
      </c>
      <c r="J1671" s="675"/>
      <c r="K1671" s="606">
        <f t="shared" si="316"/>
        <v>0</v>
      </c>
      <c r="L1671" s="438" t="s">
        <v>777</v>
      </c>
      <c r="M1671" s="429"/>
      <c r="N1671" s="430"/>
      <c r="O1671" s="287">
        <f t="shared" si="317"/>
        <v>0</v>
      </c>
      <c r="P1671" s="287">
        <f t="shared" si="318"/>
        <v>0</v>
      </c>
      <c r="Q1671" s="288"/>
      <c r="R1671" s="315" t="str">
        <f>IF(P1670&gt;0,"xy","")</f>
        <v/>
      </c>
      <c r="S1671" s="385" t="str">
        <f t="shared" si="324"/>
        <v/>
      </c>
    </row>
    <row r="1672" spans="2:19" ht="13.5" hidden="1" thickBot="1">
      <c r="B1672" s="609" t="s">
        <v>168</v>
      </c>
      <c r="C1672" s="610"/>
      <c r="D1672" s="648" t="s">
        <v>256</v>
      </c>
      <c r="E1672" s="602"/>
      <c r="F1672" s="603">
        <v>180</v>
      </c>
      <c r="G1672" s="604">
        <v>0.96</v>
      </c>
      <c r="H1672" s="605">
        <f>IF(F1672=0,0,IF(F1672&lt;=30,(0.7*F1672+1.45)*G1672,((0.7*30+1.45)+0.58*(F1672-30))*G1672))</f>
        <v>105.072</v>
      </c>
      <c r="I1672" s="675">
        <v>0</v>
      </c>
      <c r="J1672" s="675"/>
      <c r="K1672" s="606">
        <f t="shared" si="316"/>
        <v>0</v>
      </c>
      <c r="L1672" s="438" t="s">
        <v>777</v>
      </c>
      <c r="M1672" s="429"/>
      <c r="N1672" s="430"/>
      <c r="O1672" s="287">
        <f t="shared" si="317"/>
        <v>0</v>
      </c>
      <c r="P1672" s="287">
        <f t="shared" si="318"/>
        <v>0</v>
      </c>
      <c r="Q1672" s="288"/>
      <c r="R1672" s="315" t="str">
        <f>IF(P1670&gt;0,"xy","")</f>
        <v/>
      </c>
      <c r="S1672" s="385" t="str">
        <f t="shared" si="324"/>
        <v/>
      </c>
    </row>
    <row r="1673" spans="2:19" ht="13.5" hidden="1" thickBot="1">
      <c r="B1673" s="609" t="s">
        <v>168</v>
      </c>
      <c r="C1673" s="610"/>
      <c r="D1673" s="648" t="s">
        <v>260</v>
      </c>
      <c r="E1673" s="602"/>
      <c r="F1673" s="603">
        <v>20</v>
      </c>
      <c r="G1673" s="604">
        <v>1.1100000000000001</v>
      </c>
      <c r="H1673" s="605">
        <f>IF(F1673=0,0,IF(F1673&lt;=30,(0.7*F1673+1.45)*G1673,((0.7*30+1.45)+0.58*(F1673-30))*G1673))</f>
        <v>17.1495</v>
      </c>
      <c r="I1673" s="675">
        <v>0</v>
      </c>
      <c r="J1673" s="675"/>
      <c r="K1673" s="606">
        <f t="shared" si="316"/>
        <v>0</v>
      </c>
      <c r="L1673" s="438" t="s">
        <v>777</v>
      </c>
      <c r="M1673" s="429"/>
      <c r="N1673" s="430"/>
      <c r="O1673" s="287">
        <f t="shared" si="317"/>
        <v>0</v>
      </c>
      <c r="P1673" s="287">
        <f t="shared" si="318"/>
        <v>0</v>
      </c>
      <c r="Q1673" s="288"/>
      <c r="R1673" s="315" t="str">
        <f>IF(P1670&gt;0,"xy","")</f>
        <v/>
      </c>
      <c r="S1673" s="385" t="str">
        <f t="shared" si="324"/>
        <v/>
      </c>
    </row>
    <row r="1674" spans="2:19" ht="13.5" hidden="1" thickBot="1">
      <c r="B1674" s="609">
        <v>605300</v>
      </c>
      <c r="C1674" s="610" t="s">
        <v>212</v>
      </c>
      <c r="D1674" s="611" t="s">
        <v>369</v>
      </c>
      <c r="E1674" s="602"/>
      <c r="F1674" s="603"/>
      <c r="G1674" s="604"/>
      <c r="H1674" s="605">
        <f>SUM(H1675:H1677)</f>
        <v>189.55635000000001</v>
      </c>
      <c r="I1674" s="675">
        <v>404.81</v>
      </c>
      <c r="J1674" s="675">
        <f>IF(ISBLANK(I1674),"",SUM(H1674:I1674))</f>
        <v>594.36635000000001</v>
      </c>
      <c r="K1674" s="606">
        <f t="shared" si="316"/>
        <v>721.26</v>
      </c>
      <c r="L1674" s="389" t="s">
        <v>16</v>
      </c>
      <c r="M1674" s="30"/>
      <c r="N1674" s="30"/>
      <c r="O1674" s="287">
        <f t="shared" si="317"/>
        <v>0</v>
      </c>
      <c r="P1674" s="287">
        <f t="shared" si="318"/>
        <v>0</v>
      </c>
      <c r="Q1674" s="288"/>
      <c r="R1674" s="243"/>
      <c r="S1674" s="385" t="str">
        <f t="shared" si="324"/>
        <v/>
      </c>
    </row>
    <row r="1675" spans="2:19" ht="13.5" hidden="1" thickBot="1">
      <c r="B1675" s="609" t="s">
        <v>168</v>
      </c>
      <c r="C1675" s="610"/>
      <c r="D1675" s="648" t="s">
        <v>218</v>
      </c>
      <c r="E1675" s="602"/>
      <c r="F1675" s="603">
        <v>500</v>
      </c>
      <c r="G1675" s="604">
        <v>0.33</v>
      </c>
      <c r="H1675" s="605">
        <f>IF(F1675&lt;=30,(0.51*F1675+4.28)*G1675,((0.51*30+4.28)+0.42*(F1675-30))*G1675)</f>
        <v>71.603400000000008</v>
      </c>
      <c r="I1675" s="675">
        <v>0</v>
      </c>
      <c r="J1675" s="675"/>
      <c r="K1675" s="606">
        <f t="shared" si="316"/>
        <v>0</v>
      </c>
      <c r="L1675" s="438" t="s">
        <v>777</v>
      </c>
      <c r="M1675" s="429"/>
      <c r="N1675" s="430"/>
      <c r="O1675" s="287">
        <f t="shared" si="317"/>
        <v>0</v>
      </c>
      <c r="P1675" s="287">
        <f t="shared" si="318"/>
        <v>0</v>
      </c>
      <c r="Q1675" s="288"/>
      <c r="R1675" s="315" t="str">
        <f>IF(P1674&gt;0,"xy","")</f>
        <v/>
      </c>
      <c r="S1675" s="385" t="str">
        <f t="shared" si="324"/>
        <v/>
      </c>
    </row>
    <row r="1676" spans="2:19" ht="13.5" hidden="1" thickBot="1">
      <c r="B1676" s="609" t="s">
        <v>168</v>
      </c>
      <c r="C1676" s="610"/>
      <c r="D1676" s="648" t="s">
        <v>256</v>
      </c>
      <c r="E1676" s="602"/>
      <c r="F1676" s="603">
        <v>180</v>
      </c>
      <c r="G1676" s="604">
        <v>0.92100000000000004</v>
      </c>
      <c r="H1676" s="605">
        <f>IF(F1676=0,0,IF(F1676&lt;=30,(0.7*F1676+1.45)*G1676,((0.7*30+1.45)+0.58*(F1676-30))*G1676))</f>
        <v>100.80345000000001</v>
      </c>
      <c r="I1676" s="675">
        <v>0</v>
      </c>
      <c r="J1676" s="675"/>
      <c r="K1676" s="606">
        <f t="shared" si="316"/>
        <v>0</v>
      </c>
      <c r="L1676" s="438" t="s">
        <v>777</v>
      </c>
      <c r="M1676" s="429"/>
      <c r="N1676" s="430"/>
      <c r="O1676" s="287">
        <f t="shared" si="317"/>
        <v>0</v>
      </c>
      <c r="P1676" s="287">
        <f t="shared" si="318"/>
        <v>0</v>
      </c>
      <c r="Q1676" s="288"/>
      <c r="R1676" s="315" t="str">
        <f>IF(P1674&gt;0,"xy","")</f>
        <v/>
      </c>
      <c r="S1676" s="385" t="str">
        <f t="shared" si="324"/>
        <v/>
      </c>
    </row>
    <row r="1677" spans="2:19" ht="13.5" hidden="1" thickBot="1">
      <c r="B1677" s="609" t="s">
        <v>168</v>
      </c>
      <c r="C1677" s="610"/>
      <c r="D1677" s="648" t="s">
        <v>260</v>
      </c>
      <c r="E1677" s="602"/>
      <c r="F1677" s="603">
        <v>20</v>
      </c>
      <c r="G1677" s="604">
        <v>1.1100000000000001</v>
      </c>
      <c r="H1677" s="605">
        <f>IF(F1677=0,0,IF(F1677&lt;=30,(0.7*F1677+1.45)*G1677,((0.7*30+1.45)+0.58*(F1677-30))*G1677))</f>
        <v>17.1495</v>
      </c>
      <c r="I1677" s="675">
        <v>0</v>
      </c>
      <c r="J1677" s="675"/>
      <c r="K1677" s="606">
        <f t="shared" si="316"/>
        <v>0</v>
      </c>
      <c r="L1677" s="438" t="s">
        <v>777</v>
      </c>
      <c r="M1677" s="429"/>
      <c r="N1677" s="430"/>
      <c r="O1677" s="287">
        <f t="shared" si="317"/>
        <v>0</v>
      </c>
      <c r="P1677" s="287">
        <f t="shared" si="318"/>
        <v>0</v>
      </c>
      <c r="Q1677" s="288"/>
      <c r="R1677" s="315" t="str">
        <f>IF(P1674&gt;0,"xy","")</f>
        <v/>
      </c>
      <c r="S1677" s="385" t="str">
        <f t="shared" si="324"/>
        <v/>
      </c>
    </row>
    <row r="1678" spans="2:19" ht="13.5" hidden="1" thickBot="1">
      <c r="B1678" s="609" t="s">
        <v>2021</v>
      </c>
      <c r="C1678" s="610" t="s">
        <v>212</v>
      </c>
      <c r="D1678" s="611" t="s">
        <v>370</v>
      </c>
      <c r="E1678" s="602"/>
      <c r="F1678" s="603"/>
      <c r="G1678" s="604"/>
      <c r="H1678" s="605">
        <f>SUM(H1679:H1681)</f>
        <v>203.42962</v>
      </c>
      <c r="I1678" s="675">
        <v>411.03999999999996</v>
      </c>
      <c r="J1678" s="675">
        <f>IF(ISBLANK(I1678),"",SUM(H1678:I1678))</f>
        <v>614.46961999999996</v>
      </c>
      <c r="K1678" s="606">
        <f t="shared" si="316"/>
        <v>745.66</v>
      </c>
      <c r="L1678" s="389" t="s">
        <v>16</v>
      </c>
      <c r="M1678" s="30"/>
      <c r="N1678" s="30"/>
      <c r="O1678" s="287">
        <f t="shared" si="317"/>
        <v>0</v>
      </c>
      <c r="P1678" s="287">
        <f t="shared" si="318"/>
        <v>0</v>
      </c>
      <c r="Q1678" s="288"/>
      <c r="R1678" s="243"/>
      <c r="S1678" s="385" t="str">
        <f t="shared" si="324"/>
        <v/>
      </c>
    </row>
    <row r="1679" spans="2:19" ht="13.5" hidden="1" thickBot="1">
      <c r="B1679" s="609" t="s">
        <v>168</v>
      </c>
      <c r="C1679" s="610"/>
      <c r="D1679" s="648" t="s">
        <v>218</v>
      </c>
      <c r="E1679" s="602"/>
      <c r="F1679" s="603">
        <v>500</v>
      </c>
      <c r="G1679" s="604">
        <v>0.34399999999999997</v>
      </c>
      <c r="H1679" s="605">
        <f>IF(F1679&lt;=30,(0.51*F1679+4.28)*G1679,((0.51*30+4.28)+0.42*(F1679-30))*G1679)</f>
        <v>74.641120000000001</v>
      </c>
      <c r="I1679" s="675">
        <v>0</v>
      </c>
      <c r="J1679" s="675"/>
      <c r="K1679" s="606">
        <f t="shared" si="316"/>
        <v>0</v>
      </c>
      <c r="L1679" s="438" t="s">
        <v>777</v>
      </c>
      <c r="M1679" s="429"/>
      <c r="N1679" s="430"/>
      <c r="O1679" s="287">
        <f t="shared" si="317"/>
        <v>0</v>
      </c>
      <c r="P1679" s="287">
        <f t="shared" si="318"/>
        <v>0</v>
      </c>
      <c r="Q1679" s="288"/>
      <c r="R1679" s="315" t="str">
        <f>IF(P1678&gt;0,"xy","")</f>
        <v/>
      </c>
      <c r="S1679" s="385" t="str">
        <f t="shared" si="324"/>
        <v/>
      </c>
    </row>
    <row r="1680" spans="2:19" ht="13.5" hidden="1" thickBot="1">
      <c r="B1680" s="609" t="s">
        <v>168</v>
      </c>
      <c r="C1680" s="610"/>
      <c r="D1680" s="648" t="s">
        <v>256</v>
      </c>
      <c r="E1680" s="602"/>
      <c r="F1680" s="603">
        <v>180</v>
      </c>
      <c r="G1680" s="604">
        <v>1.02</v>
      </c>
      <c r="H1680" s="605">
        <f>IF(F1680=0,0,IF(F1680&lt;=30,(0.7*F1680+1.45)*G1680,((0.7*30+1.45)+0.58*(F1680-30))*G1680))</f>
        <v>111.63900000000001</v>
      </c>
      <c r="I1680" s="675">
        <v>0</v>
      </c>
      <c r="J1680" s="675"/>
      <c r="K1680" s="606">
        <f t="shared" si="316"/>
        <v>0</v>
      </c>
      <c r="L1680" s="438" t="s">
        <v>777</v>
      </c>
      <c r="M1680" s="429"/>
      <c r="N1680" s="430"/>
      <c r="O1680" s="287">
        <f t="shared" si="317"/>
        <v>0</v>
      </c>
      <c r="P1680" s="287">
        <f t="shared" si="318"/>
        <v>0</v>
      </c>
      <c r="Q1680" s="288"/>
      <c r="R1680" s="315" t="str">
        <f>IF(P1678&gt;0,"xy","")</f>
        <v/>
      </c>
      <c r="S1680" s="385" t="str">
        <f t="shared" si="324"/>
        <v/>
      </c>
    </row>
    <row r="1681" spans="2:19" ht="13.5" hidden="1" thickBot="1">
      <c r="B1681" s="609" t="s">
        <v>168</v>
      </c>
      <c r="C1681" s="610"/>
      <c r="D1681" s="648" t="s">
        <v>260</v>
      </c>
      <c r="E1681" s="602"/>
      <c r="F1681" s="603">
        <v>20</v>
      </c>
      <c r="G1681" s="604">
        <v>1.1100000000000001</v>
      </c>
      <c r="H1681" s="605">
        <f>IF(F1681=0,0,IF(F1681&lt;=30,(0.7*F1681+1.45)*G1681,((0.7*30+1.45)+0.58*(F1681-30))*G1681))</f>
        <v>17.1495</v>
      </c>
      <c r="I1681" s="675">
        <v>0</v>
      </c>
      <c r="J1681" s="675"/>
      <c r="K1681" s="606">
        <f t="shared" si="316"/>
        <v>0</v>
      </c>
      <c r="L1681" s="438" t="s">
        <v>777</v>
      </c>
      <c r="M1681" s="429"/>
      <c r="N1681" s="430"/>
      <c r="O1681" s="287">
        <f t="shared" si="317"/>
        <v>0</v>
      </c>
      <c r="P1681" s="287">
        <f t="shared" si="318"/>
        <v>0</v>
      </c>
      <c r="Q1681" s="288"/>
      <c r="R1681" s="315" t="str">
        <f>IF(P1678&gt;0,"xy","")</f>
        <v/>
      </c>
      <c r="S1681" s="385" t="str">
        <f t="shared" si="324"/>
        <v/>
      </c>
    </row>
    <row r="1682" spans="2:19" ht="13.5" hidden="1" thickBot="1">
      <c r="B1682" s="609" t="s">
        <v>1881</v>
      </c>
      <c r="C1682" s="610" t="s">
        <v>212</v>
      </c>
      <c r="D1682" s="611" t="s">
        <v>293</v>
      </c>
      <c r="E1682" s="602"/>
      <c r="F1682" s="603"/>
      <c r="G1682" s="604"/>
      <c r="H1682" s="605">
        <v>0</v>
      </c>
      <c r="I1682" s="675">
        <v>35.379999999999995</v>
      </c>
      <c r="J1682" s="675">
        <f>IF(ISBLANK(I1682),"",SUM(H1682:I1682))</f>
        <v>35.379999999999995</v>
      </c>
      <c r="K1682" s="606">
        <f t="shared" si="316"/>
        <v>42.93</v>
      </c>
      <c r="L1682" s="389" t="s">
        <v>19</v>
      </c>
      <c r="M1682" s="30"/>
      <c r="N1682" s="30"/>
      <c r="O1682" s="287">
        <f t="shared" si="317"/>
        <v>0</v>
      </c>
      <c r="P1682" s="287">
        <f t="shared" si="318"/>
        <v>0</v>
      </c>
      <c r="Q1682" s="288"/>
      <c r="R1682" s="243"/>
      <c r="S1682" s="385" t="str">
        <f t="shared" si="324"/>
        <v/>
      </c>
    </row>
    <row r="1683" spans="2:19" ht="13.5" hidden="1" thickBot="1">
      <c r="B1683" s="609" t="s">
        <v>1882</v>
      </c>
      <c r="C1683" s="610" t="s">
        <v>212</v>
      </c>
      <c r="D1683" s="611" t="s">
        <v>294</v>
      </c>
      <c r="E1683" s="602"/>
      <c r="F1683" s="603"/>
      <c r="G1683" s="604"/>
      <c r="H1683" s="605">
        <v>0</v>
      </c>
      <c r="I1683" s="675">
        <v>26.82</v>
      </c>
      <c r="J1683" s="675">
        <f>IF(ISBLANK(I1683),"",SUM(H1683:I1683))</f>
        <v>26.82</v>
      </c>
      <c r="K1683" s="606">
        <f t="shared" si="316"/>
        <v>32.549999999999997</v>
      </c>
      <c r="L1683" s="389" t="s">
        <v>19</v>
      </c>
      <c r="M1683" s="30"/>
      <c r="N1683" s="30"/>
      <c r="O1683" s="287">
        <f t="shared" si="317"/>
        <v>0</v>
      </c>
      <c r="P1683" s="287">
        <f t="shared" si="318"/>
        <v>0</v>
      </c>
      <c r="Q1683" s="288"/>
      <c r="R1683" s="243"/>
      <c r="S1683" s="385" t="str">
        <f t="shared" si="324"/>
        <v/>
      </c>
    </row>
    <row r="1684" spans="2:19" ht="13.5" hidden="1" thickBot="1">
      <c r="B1684" s="609" t="s">
        <v>2015</v>
      </c>
      <c r="C1684" s="610" t="s">
        <v>212</v>
      </c>
      <c r="D1684" s="611" t="s">
        <v>295</v>
      </c>
      <c r="E1684" s="602"/>
      <c r="F1684" s="603">
        <v>0</v>
      </c>
      <c r="G1684" s="604"/>
      <c r="H1684" s="605">
        <v>0</v>
      </c>
      <c r="I1684" s="675">
        <v>322.98</v>
      </c>
      <c r="J1684" s="675">
        <f>IF(ISBLANK(I1684),"",SUM(H1684:I1684))</f>
        <v>322.98</v>
      </c>
      <c r="K1684" s="606">
        <f t="shared" si="316"/>
        <v>391.94</v>
      </c>
      <c r="L1684" s="389" t="s">
        <v>19</v>
      </c>
      <c r="M1684" s="30"/>
      <c r="N1684" s="30"/>
      <c r="O1684" s="287">
        <f t="shared" si="317"/>
        <v>0</v>
      </c>
      <c r="P1684" s="287">
        <f t="shared" si="318"/>
        <v>0</v>
      </c>
      <c r="Q1684" s="288"/>
      <c r="R1684" s="243"/>
      <c r="S1684" s="385" t="str">
        <f t="shared" si="324"/>
        <v/>
      </c>
    </row>
    <row r="1685" spans="2:19" ht="13.5" hidden="1" thickBot="1">
      <c r="B1685" s="609" t="s">
        <v>1908</v>
      </c>
      <c r="C1685" s="610" t="s">
        <v>843</v>
      </c>
      <c r="D1685" s="682" t="s">
        <v>1904</v>
      </c>
      <c r="E1685" s="683"/>
      <c r="F1685" s="639"/>
      <c r="G1685" s="673"/>
      <c r="H1685" s="674"/>
      <c r="I1685" s="675">
        <v>155.36000000000001</v>
      </c>
      <c r="J1685" s="675">
        <f t="shared" ref="J1685" si="325">IF(ISBLANK(I1685),"",SUM(H1685:I1685))</f>
        <v>155.36000000000001</v>
      </c>
      <c r="K1685" s="606">
        <f t="shared" si="316"/>
        <v>188.53</v>
      </c>
      <c r="L1685" s="389" t="s">
        <v>16</v>
      </c>
      <c r="M1685" s="30"/>
      <c r="N1685" s="30"/>
      <c r="O1685" s="287">
        <f t="shared" si="317"/>
        <v>0</v>
      </c>
      <c r="P1685" s="391">
        <f t="shared" si="318"/>
        <v>0</v>
      </c>
      <c r="Q1685" s="288"/>
      <c r="R1685" s="243"/>
      <c r="S1685" s="385" t="str">
        <f t="shared" si="324"/>
        <v/>
      </c>
    </row>
    <row r="1686" spans="2:19" ht="13.5" hidden="1" thickBot="1">
      <c r="B1686" s="609" t="s">
        <v>1909</v>
      </c>
      <c r="C1686" s="610" t="s">
        <v>843</v>
      </c>
      <c r="D1686" s="682" t="s">
        <v>1906</v>
      </c>
      <c r="E1686" s="683"/>
      <c r="F1686" s="639"/>
      <c r="G1686" s="673"/>
      <c r="H1686" s="674"/>
      <c r="I1686" s="675">
        <v>95.35</v>
      </c>
      <c r="J1686" s="675">
        <f>IF(ISBLANK(I1686),"",SUM(H1686:I1686))</f>
        <v>95.35</v>
      </c>
      <c r="K1686" s="606">
        <f t="shared" si="316"/>
        <v>115.71</v>
      </c>
      <c r="L1686" s="389" t="s">
        <v>16</v>
      </c>
      <c r="M1686" s="30"/>
      <c r="N1686" s="30"/>
      <c r="O1686" s="287">
        <f t="shared" si="317"/>
        <v>0</v>
      </c>
      <c r="P1686" s="391">
        <f t="shared" si="318"/>
        <v>0</v>
      </c>
      <c r="Q1686" s="288"/>
      <c r="R1686" s="243"/>
      <c r="S1686" s="385" t="str">
        <f t="shared" si="324"/>
        <v/>
      </c>
    </row>
    <row r="1687" spans="2:19" ht="13.5" hidden="1" thickBot="1">
      <c r="B1687" s="609" t="s">
        <v>1910</v>
      </c>
      <c r="C1687" s="610" t="s">
        <v>212</v>
      </c>
      <c r="D1687" s="682" t="s">
        <v>534</v>
      </c>
      <c r="E1687" s="683"/>
      <c r="F1687" s="639"/>
      <c r="G1687" s="673"/>
      <c r="H1687" s="674"/>
      <c r="I1687" s="675">
        <v>154.16</v>
      </c>
      <c r="J1687" s="675">
        <f>IF(ISBLANK(I1687),"",SUM(H1687:I1687))</f>
        <v>154.16</v>
      </c>
      <c r="K1687" s="606">
        <f t="shared" si="316"/>
        <v>187.07</v>
      </c>
      <c r="L1687" s="389" t="s">
        <v>16</v>
      </c>
      <c r="M1687" s="30"/>
      <c r="N1687" s="30"/>
      <c r="O1687" s="287">
        <f t="shared" si="317"/>
        <v>0</v>
      </c>
      <c r="P1687" s="391">
        <f t="shared" si="318"/>
        <v>0</v>
      </c>
      <c r="Q1687" s="288"/>
      <c r="R1687" s="243"/>
      <c r="S1687" s="385" t="str">
        <f t="shared" si="324"/>
        <v/>
      </c>
    </row>
    <row r="1688" spans="2:19" ht="13.5" hidden="1" thickBot="1">
      <c r="B1688" s="609" t="s">
        <v>1901</v>
      </c>
      <c r="C1688" s="610" t="s">
        <v>212</v>
      </c>
      <c r="D1688" s="611" t="s">
        <v>508</v>
      </c>
      <c r="E1688" s="602"/>
      <c r="F1688" s="603">
        <v>0</v>
      </c>
      <c r="G1688" s="604"/>
      <c r="H1688" s="605">
        <v>0</v>
      </c>
      <c r="I1688" s="675">
        <v>10.57</v>
      </c>
      <c r="J1688" s="675">
        <f t="shared" ref="J1688:J1695" si="326">IF(ISBLANK(I1688),"",SUM(H1688:I1688))</f>
        <v>10.57</v>
      </c>
      <c r="K1688" s="606">
        <f t="shared" si="316"/>
        <v>12.83</v>
      </c>
      <c r="L1688" s="389" t="s">
        <v>19</v>
      </c>
      <c r="M1688" s="30"/>
      <c r="N1688" s="30"/>
      <c r="O1688" s="287">
        <f t="shared" si="317"/>
        <v>0</v>
      </c>
      <c r="P1688" s="287">
        <f t="shared" si="318"/>
        <v>0</v>
      </c>
      <c r="Q1688" s="288"/>
      <c r="R1688" s="243"/>
      <c r="S1688" s="385" t="str">
        <f t="shared" si="324"/>
        <v/>
      </c>
    </row>
    <row r="1689" spans="2:19" ht="13.5" hidden="1" thickBot="1">
      <c r="B1689" s="609" t="s">
        <v>1902</v>
      </c>
      <c r="C1689" s="610" t="s">
        <v>212</v>
      </c>
      <c r="D1689" s="611" t="s">
        <v>292</v>
      </c>
      <c r="E1689" s="602"/>
      <c r="F1689" s="603">
        <v>0</v>
      </c>
      <c r="G1689" s="604"/>
      <c r="H1689" s="605">
        <v>0</v>
      </c>
      <c r="I1689" s="675">
        <v>29.17</v>
      </c>
      <c r="J1689" s="675">
        <f t="shared" si="326"/>
        <v>29.17</v>
      </c>
      <c r="K1689" s="606">
        <f t="shared" si="316"/>
        <v>35.4</v>
      </c>
      <c r="L1689" s="389" t="s">
        <v>19</v>
      </c>
      <c r="M1689" s="30"/>
      <c r="N1689" s="30"/>
      <c r="O1689" s="287">
        <f t="shared" si="317"/>
        <v>0</v>
      </c>
      <c r="P1689" s="287">
        <f t="shared" si="318"/>
        <v>0</v>
      </c>
      <c r="Q1689" s="288"/>
      <c r="R1689" s="243"/>
      <c r="S1689" s="385" t="str">
        <f t="shared" si="324"/>
        <v/>
      </c>
    </row>
    <row r="1690" spans="2:19" ht="13.5" hidden="1" thickBot="1">
      <c r="B1690" s="609" t="s">
        <v>1884</v>
      </c>
      <c r="C1690" s="610" t="s">
        <v>212</v>
      </c>
      <c r="D1690" s="611" t="s">
        <v>205</v>
      </c>
      <c r="E1690" s="602"/>
      <c r="F1690" s="603">
        <v>0</v>
      </c>
      <c r="G1690" s="604"/>
      <c r="H1690" s="605">
        <v>0</v>
      </c>
      <c r="I1690" s="675">
        <v>259.06</v>
      </c>
      <c r="J1690" s="675">
        <f t="shared" si="326"/>
        <v>259.06</v>
      </c>
      <c r="K1690" s="606">
        <f t="shared" si="316"/>
        <v>314.37</v>
      </c>
      <c r="L1690" s="389" t="s">
        <v>16</v>
      </c>
      <c r="M1690" s="30"/>
      <c r="N1690" s="30"/>
      <c r="O1690" s="287">
        <f t="shared" si="317"/>
        <v>0</v>
      </c>
      <c r="P1690" s="287">
        <f t="shared" si="318"/>
        <v>0</v>
      </c>
      <c r="Q1690" s="288"/>
      <c r="R1690" s="243"/>
      <c r="S1690" s="385" t="str">
        <f t="shared" si="324"/>
        <v/>
      </c>
    </row>
    <row r="1691" spans="2:19" ht="13.5" hidden="1" thickBot="1">
      <c r="B1691" s="609" t="s">
        <v>1888</v>
      </c>
      <c r="C1691" s="610" t="s">
        <v>212</v>
      </c>
      <c r="D1691" s="611" t="s">
        <v>285</v>
      </c>
      <c r="E1691" s="602"/>
      <c r="F1691" s="603">
        <v>0</v>
      </c>
      <c r="G1691" s="604"/>
      <c r="H1691" s="605">
        <v>0</v>
      </c>
      <c r="I1691" s="675">
        <v>123.85000000000001</v>
      </c>
      <c r="J1691" s="675">
        <f t="shared" si="326"/>
        <v>123.85000000000001</v>
      </c>
      <c r="K1691" s="606">
        <f t="shared" si="316"/>
        <v>150.29</v>
      </c>
      <c r="L1691" s="389" t="s">
        <v>16</v>
      </c>
      <c r="M1691" s="30"/>
      <c r="N1691" s="30"/>
      <c r="O1691" s="287">
        <f t="shared" si="317"/>
        <v>0</v>
      </c>
      <c r="P1691" s="287">
        <f t="shared" si="318"/>
        <v>0</v>
      </c>
      <c r="Q1691" s="288"/>
      <c r="R1691" s="243"/>
      <c r="S1691" s="385" t="str">
        <f t="shared" si="324"/>
        <v/>
      </c>
    </row>
    <row r="1692" spans="2:19" ht="13.5" hidden="1" thickBot="1">
      <c r="B1692" s="609" t="s">
        <v>2023</v>
      </c>
      <c r="C1692" s="610" t="s">
        <v>212</v>
      </c>
      <c r="D1692" s="611" t="s">
        <v>355</v>
      </c>
      <c r="E1692" s="602"/>
      <c r="F1692" s="603">
        <v>20</v>
      </c>
      <c r="G1692" s="604">
        <v>1.8</v>
      </c>
      <c r="H1692" s="605">
        <f t="shared" ref="H1692:H1693" si="327">IF(F1692=0,0,IF(F1692&lt;=30,(0.7*F1692+1.45)*G1692,((0.7*30+1.45)+0.58*(F1692-30))*G1692))</f>
        <v>27.81</v>
      </c>
      <c r="I1692" s="675">
        <v>180.75</v>
      </c>
      <c r="J1692" s="675">
        <f t="shared" si="326"/>
        <v>208.56</v>
      </c>
      <c r="K1692" s="606">
        <f t="shared" si="316"/>
        <v>253.09</v>
      </c>
      <c r="L1692" s="389" t="s">
        <v>16</v>
      </c>
      <c r="M1692" s="30"/>
      <c r="N1692" s="30"/>
      <c r="O1692" s="287">
        <f t="shared" si="317"/>
        <v>0</v>
      </c>
      <c r="P1692" s="287">
        <f t="shared" si="318"/>
        <v>0</v>
      </c>
      <c r="Q1692" s="288"/>
      <c r="R1692" s="384"/>
      <c r="S1692" s="385" t="str">
        <f t="shared" si="324"/>
        <v/>
      </c>
    </row>
    <row r="1693" spans="2:19" ht="13.5" hidden="1" thickBot="1">
      <c r="B1693" s="609" t="s">
        <v>2024</v>
      </c>
      <c r="C1693" s="610" t="s">
        <v>212</v>
      </c>
      <c r="D1693" s="611" t="s">
        <v>356</v>
      </c>
      <c r="E1693" s="602"/>
      <c r="F1693" s="603">
        <v>20</v>
      </c>
      <c r="G1693" s="604">
        <v>1.5</v>
      </c>
      <c r="H1693" s="605">
        <f t="shared" si="327"/>
        <v>23.174999999999997</v>
      </c>
      <c r="I1693" s="675">
        <v>106.55000000000001</v>
      </c>
      <c r="J1693" s="675">
        <f t="shared" si="326"/>
        <v>129.72500000000002</v>
      </c>
      <c r="K1693" s="606">
        <f t="shared" si="316"/>
        <v>157.41999999999999</v>
      </c>
      <c r="L1693" s="389" t="s">
        <v>16</v>
      </c>
      <c r="M1693" s="30"/>
      <c r="N1693" s="30"/>
      <c r="O1693" s="287">
        <f t="shared" si="317"/>
        <v>0</v>
      </c>
      <c r="P1693" s="287">
        <f t="shared" si="318"/>
        <v>0</v>
      </c>
      <c r="Q1693" s="288"/>
      <c r="R1693" s="243"/>
      <c r="S1693" s="385" t="str">
        <f t="shared" si="324"/>
        <v/>
      </c>
    </row>
    <row r="1694" spans="2:19" ht="13.5" hidden="1" thickBot="1">
      <c r="B1694" s="609" t="s">
        <v>2027</v>
      </c>
      <c r="C1694" s="610" t="s">
        <v>212</v>
      </c>
      <c r="D1694" s="611" t="s">
        <v>339</v>
      </c>
      <c r="E1694" s="602"/>
      <c r="F1694" s="603">
        <v>0</v>
      </c>
      <c r="G1694" s="604">
        <v>0</v>
      </c>
      <c r="H1694" s="605">
        <v>0</v>
      </c>
      <c r="I1694" s="675">
        <v>41.86</v>
      </c>
      <c r="J1694" s="675">
        <f t="shared" si="326"/>
        <v>41.86</v>
      </c>
      <c r="K1694" s="606">
        <f t="shared" si="316"/>
        <v>50.8</v>
      </c>
      <c r="L1694" s="389" t="s">
        <v>16</v>
      </c>
      <c r="M1694" s="30"/>
      <c r="N1694" s="30"/>
      <c r="O1694" s="287">
        <f t="shared" si="317"/>
        <v>0</v>
      </c>
      <c r="P1694" s="287">
        <f t="shared" si="318"/>
        <v>0</v>
      </c>
      <c r="Q1694" s="288"/>
      <c r="R1694" s="243"/>
      <c r="S1694" s="385" t="str">
        <f t="shared" si="324"/>
        <v/>
      </c>
    </row>
    <row r="1695" spans="2:19" ht="13.5" hidden="1" thickBot="1">
      <c r="B1695" s="609" t="s">
        <v>1988</v>
      </c>
      <c r="C1695" s="610" t="s">
        <v>212</v>
      </c>
      <c r="D1695" s="611" t="s">
        <v>288</v>
      </c>
      <c r="E1695" s="602"/>
      <c r="F1695" s="603"/>
      <c r="G1695" s="604"/>
      <c r="H1695" s="605">
        <f>IF(F1695&lt;=30,(0.31*F1695+0.77)*G1695,((0.31*30+0.77)+0.31*(F1695-30))*G1695)</f>
        <v>0</v>
      </c>
      <c r="I1695" s="675">
        <v>90.759999999999991</v>
      </c>
      <c r="J1695" s="675">
        <f t="shared" si="326"/>
        <v>90.759999999999991</v>
      </c>
      <c r="K1695" s="606">
        <f t="shared" si="316"/>
        <v>110.14</v>
      </c>
      <c r="L1695" s="389" t="s">
        <v>18</v>
      </c>
      <c r="M1695" s="30"/>
      <c r="N1695" s="30"/>
      <c r="O1695" s="287">
        <f t="shared" si="317"/>
        <v>0</v>
      </c>
      <c r="P1695" s="287">
        <f t="shared" si="318"/>
        <v>0</v>
      </c>
      <c r="Q1695" s="288"/>
      <c r="R1695" s="243"/>
      <c r="S1695" s="385" t="str">
        <f t="shared" si="324"/>
        <v/>
      </c>
    </row>
    <row r="1696" spans="2:19" ht="13.5" hidden="1" thickBot="1">
      <c r="B1696" s="609" t="s">
        <v>1895</v>
      </c>
      <c r="C1696" s="610" t="s">
        <v>212</v>
      </c>
      <c r="D1696" s="682" t="s">
        <v>505</v>
      </c>
      <c r="E1696" s="683"/>
      <c r="F1696" s="639"/>
      <c r="G1696" s="673"/>
      <c r="H1696" s="674"/>
      <c r="I1696" s="675">
        <v>113.81</v>
      </c>
      <c r="J1696" s="675">
        <f t="shared" ref="J1696:J1706" si="328">IF(ISBLANK(I1696),"",SUM(H1696:I1696))</f>
        <v>113.81</v>
      </c>
      <c r="K1696" s="606">
        <f t="shared" si="316"/>
        <v>138.11000000000001</v>
      </c>
      <c r="L1696" s="389" t="s">
        <v>21</v>
      </c>
      <c r="M1696" s="30"/>
      <c r="N1696" s="30"/>
      <c r="O1696" s="287">
        <f t="shared" si="317"/>
        <v>0</v>
      </c>
      <c r="P1696" s="287">
        <f t="shared" si="318"/>
        <v>0</v>
      </c>
      <c r="Q1696" s="288"/>
      <c r="R1696" s="243"/>
      <c r="S1696" s="385" t="str">
        <f t="shared" si="324"/>
        <v/>
      </c>
    </row>
    <row r="1697" spans="2:19" ht="13.5" hidden="1" thickBot="1">
      <c r="B1697" s="609" t="s">
        <v>2029</v>
      </c>
      <c r="C1697" s="610" t="s">
        <v>212</v>
      </c>
      <c r="D1697" s="682" t="s">
        <v>789</v>
      </c>
      <c r="E1697" s="683"/>
      <c r="F1697" s="639"/>
      <c r="G1697" s="673"/>
      <c r="H1697" s="674"/>
      <c r="I1697" s="675">
        <v>69.77</v>
      </c>
      <c r="J1697" s="675">
        <f t="shared" ref="J1697:J1699" si="329">IF(ISBLANK(I1697),"",SUM(H1697:I1697))</f>
        <v>69.77</v>
      </c>
      <c r="K1697" s="606">
        <f t="shared" si="316"/>
        <v>84.67</v>
      </c>
      <c r="L1697" s="389" t="s">
        <v>19</v>
      </c>
      <c r="M1697" s="30"/>
      <c r="N1697" s="30"/>
      <c r="O1697" s="287">
        <f t="shared" si="317"/>
        <v>0</v>
      </c>
      <c r="P1697" s="287">
        <f t="shared" si="318"/>
        <v>0</v>
      </c>
      <c r="Q1697" s="288"/>
      <c r="R1697" s="243"/>
      <c r="S1697" s="385" t="str">
        <f t="shared" si="324"/>
        <v/>
      </c>
    </row>
    <row r="1698" spans="2:19" ht="13.5" hidden="1" thickBot="1">
      <c r="B1698" s="609" t="s">
        <v>2031</v>
      </c>
      <c r="C1698" s="610" t="s">
        <v>212</v>
      </c>
      <c r="D1698" s="682" t="s">
        <v>790</v>
      </c>
      <c r="E1698" s="683"/>
      <c r="F1698" s="639"/>
      <c r="G1698" s="673"/>
      <c r="H1698" s="674"/>
      <c r="I1698" s="675">
        <v>139.54</v>
      </c>
      <c r="J1698" s="675">
        <f t="shared" si="329"/>
        <v>139.54</v>
      </c>
      <c r="K1698" s="606">
        <f t="shared" si="316"/>
        <v>169.33</v>
      </c>
      <c r="L1698" s="389" t="s">
        <v>19</v>
      </c>
      <c r="M1698" s="30"/>
      <c r="N1698" s="30"/>
      <c r="O1698" s="287">
        <f t="shared" si="317"/>
        <v>0</v>
      </c>
      <c r="P1698" s="287">
        <f t="shared" si="318"/>
        <v>0</v>
      </c>
      <c r="Q1698" s="288"/>
      <c r="R1698" s="243"/>
      <c r="S1698" s="385" t="str">
        <f t="shared" si="324"/>
        <v/>
      </c>
    </row>
    <row r="1699" spans="2:19" ht="13.5" hidden="1" thickBot="1">
      <c r="B1699" s="609" t="s">
        <v>2032</v>
      </c>
      <c r="C1699" s="610" t="s">
        <v>212</v>
      </c>
      <c r="D1699" s="682" t="s">
        <v>791</v>
      </c>
      <c r="E1699" s="683"/>
      <c r="F1699" s="639"/>
      <c r="G1699" s="673"/>
      <c r="H1699" s="674"/>
      <c r="I1699" s="675">
        <v>209.31</v>
      </c>
      <c r="J1699" s="675">
        <f t="shared" si="329"/>
        <v>209.31</v>
      </c>
      <c r="K1699" s="606">
        <f t="shared" si="316"/>
        <v>254</v>
      </c>
      <c r="L1699" s="389" t="s">
        <v>19</v>
      </c>
      <c r="M1699" s="30"/>
      <c r="N1699" s="30"/>
      <c r="O1699" s="287">
        <f t="shared" si="317"/>
        <v>0</v>
      </c>
      <c r="P1699" s="287">
        <f t="shared" si="318"/>
        <v>0</v>
      </c>
      <c r="Q1699" s="288"/>
      <c r="R1699" s="243"/>
      <c r="S1699" s="385" t="str">
        <f t="shared" si="324"/>
        <v/>
      </c>
    </row>
    <row r="1700" spans="2:19" ht="13.5" hidden="1" thickBot="1">
      <c r="B1700" s="609" t="s">
        <v>1897</v>
      </c>
      <c r="C1700" s="610" t="s">
        <v>212</v>
      </c>
      <c r="D1700" s="682" t="s">
        <v>506</v>
      </c>
      <c r="E1700" s="683"/>
      <c r="F1700" s="639"/>
      <c r="G1700" s="673"/>
      <c r="H1700" s="674"/>
      <c r="I1700" s="675">
        <v>9.91</v>
      </c>
      <c r="J1700" s="675">
        <f t="shared" si="328"/>
        <v>9.91</v>
      </c>
      <c r="K1700" s="606">
        <f t="shared" si="316"/>
        <v>12.03</v>
      </c>
      <c r="L1700" s="389" t="s">
        <v>18</v>
      </c>
      <c r="M1700" s="30"/>
      <c r="N1700" s="30"/>
      <c r="O1700" s="287">
        <f t="shared" si="317"/>
        <v>0</v>
      </c>
      <c r="P1700" s="287">
        <f t="shared" si="318"/>
        <v>0</v>
      </c>
      <c r="Q1700" s="288"/>
      <c r="R1700" s="243"/>
      <c r="S1700" s="385" t="str">
        <f t="shared" si="324"/>
        <v/>
      </c>
    </row>
    <row r="1701" spans="2:19" ht="13.5" hidden="1" thickBot="1">
      <c r="B1701" s="609" t="s">
        <v>1898</v>
      </c>
      <c r="C1701" s="610" t="s">
        <v>212</v>
      </c>
      <c r="D1701" s="682" t="s">
        <v>306</v>
      </c>
      <c r="E1701" s="683"/>
      <c r="F1701" s="639"/>
      <c r="G1701" s="673"/>
      <c r="H1701" s="674"/>
      <c r="I1701" s="675">
        <v>13.91</v>
      </c>
      <c r="J1701" s="675">
        <f t="shared" si="328"/>
        <v>13.91</v>
      </c>
      <c r="K1701" s="606">
        <f t="shared" si="316"/>
        <v>16.88</v>
      </c>
      <c r="L1701" s="389" t="s">
        <v>18</v>
      </c>
      <c r="M1701" s="425"/>
      <c r="N1701" s="425"/>
      <c r="O1701" s="287">
        <f t="shared" si="317"/>
        <v>0</v>
      </c>
      <c r="P1701" s="391">
        <f t="shared" si="318"/>
        <v>0</v>
      </c>
      <c r="Q1701" s="288"/>
      <c r="R1701" s="243"/>
      <c r="S1701" s="385" t="str">
        <f t="shared" si="324"/>
        <v/>
      </c>
    </row>
    <row r="1702" spans="2:19" ht="13.5" hidden="1" thickBot="1">
      <c r="B1702" s="609" t="s">
        <v>1899</v>
      </c>
      <c r="C1702" s="610" t="s">
        <v>212</v>
      </c>
      <c r="D1702" s="682" t="s">
        <v>507</v>
      </c>
      <c r="E1702" s="683"/>
      <c r="F1702" s="639"/>
      <c r="G1702" s="673"/>
      <c r="H1702" s="674"/>
      <c r="I1702" s="675">
        <v>1.8800000000000001</v>
      </c>
      <c r="J1702" s="675">
        <f t="shared" si="328"/>
        <v>1.8800000000000001</v>
      </c>
      <c r="K1702" s="606">
        <f t="shared" si="316"/>
        <v>2.2799999999999998</v>
      </c>
      <c r="L1702" s="389" t="s">
        <v>19</v>
      </c>
      <c r="M1702" s="425"/>
      <c r="N1702" s="425"/>
      <c r="O1702" s="287">
        <f t="shared" si="317"/>
        <v>0</v>
      </c>
      <c r="P1702" s="391">
        <f t="shared" si="318"/>
        <v>0</v>
      </c>
      <c r="Q1702" s="288"/>
      <c r="R1702" s="243"/>
      <c r="S1702" s="385" t="str">
        <f t="shared" si="324"/>
        <v/>
      </c>
    </row>
    <row r="1703" spans="2:19" ht="13.5" hidden="1" thickBot="1">
      <c r="B1703" s="628" t="s">
        <v>1816</v>
      </c>
      <c r="C1703" s="655" t="s">
        <v>212</v>
      </c>
      <c r="D1703" s="611" t="s">
        <v>246</v>
      </c>
      <c r="E1703" s="602"/>
      <c r="F1703" s="603">
        <v>20</v>
      </c>
      <c r="G1703" s="673">
        <v>0.3</v>
      </c>
      <c r="H1703" s="605">
        <f>IF(F1703=0,0,IF(F1703&lt;=30,(0.7*F1703+1.45)*G1703,((0.7*30+1.45)+0.58*(F1703-30))*G1703))</f>
        <v>4.6349999999999998</v>
      </c>
      <c r="I1703" s="675">
        <v>22.76</v>
      </c>
      <c r="J1703" s="675">
        <f>IF(ISBLANK(I1703),"",SUM(H1703:I1703))</f>
        <v>27.395000000000003</v>
      </c>
      <c r="K1703" s="606">
        <f t="shared" si="316"/>
        <v>33.24</v>
      </c>
      <c r="L1703" s="389" t="s">
        <v>18</v>
      </c>
      <c r="M1703" s="30"/>
      <c r="N1703" s="30"/>
      <c r="O1703" s="287">
        <f t="shared" si="317"/>
        <v>0</v>
      </c>
      <c r="P1703" s="287">
        <f t="shared" si="318"/>
        <v>0</v>
      </c>
      <c r="Q1703" s="288"/>
      <c r="R1703" s="243"/>
      <c r="S1703" s="385" t="str">
        <f t="shared" si="324"/>
        <v/>
      </c>
    </row>
    <row r="1704" spans="2:19" ht="13.5" hidden="1" thickBot="1">
      <c r="B1704" s="609" t="s">
        <v>1803</v>
      </c>
      <c r="C1704" s="610" t="s">
        <v>212</v>
      </c>
      <c r="D1704" s="611" t="s">
        <v>207</v>
      </c>
      <c r="E1704" s="602"/>
      <c r="F1704" s="603">
        <v>0</v>
      </c>
      <c r="G1704" s="604">
        <v>0</v>
      </c>
      <c r="H1704" s="605">
        <v>0</v>
      </c>
      <c r="I1704" s="675">
        <v>0.2</v>
      </c>
      <c r="J1704" s="675">
        <f t="shared" si="328"/>
        <v>0.2</v>
      </c>
      <c r="K1704" s="606">
        <f t="shared" si="316"/>
        <v>0.24</v>
      </c>
      <c r="L1704" s="389" t="s">
        <v>18</v>
      </c>
      <c r="M1704" s="30"/>
      <c r="N1704" s="30"/>
      <c r="O1704" s="287">
        <f>IF(ISBLANK(M1704),0,ROUND(K1704*M1704,2))</f>
        <v>0</v>
      </c>
      <c r="P1704" s="287">
        <f>IF(ISBLANK(N1704),0,ROUND(M1704*N1704,2))</f>
        <v>0</v>
      </c>
      <c r="Q1704" s="288"/>
      <c r="R1704" s="243"/>
      <c r="S1704" s="385" t="str">
        <f t="shared" si="324"/>
        <v/>
      </c>
    </row>
    <row r="1705" spans="2:19" ht="13.5" hidden="1" thickBot="1">
      <c r="B1705" s="609" t="s">
        <v>1817</v>
      </c>
      <c r="C1705" s="610" t="s">
        <v>212</v>
      </c>
      <c r="D1705" s="611" t="s">
        <v>518</v>
      </c>
      <c r="E1705" s="602"/>
      <c r="F1705" s="603"/>
      <c r="G1705" s="673"/>
      <c r="H1705" s="605"/>
      <c r="I1705" s="675">
        <v>8.5500000000000007</v>
      </c>
      <c r="J1705" s="675">
        <f t="shared" si="328"/>
        <v>8.5500000000000007</v>
      </c>
      <c r="K1705" s="606">
        <f t="shared" si="316"/>
        <v>10.38</v>
      </c>
      <c r="L1705" s="389" t="s">
        <v>18</v>
      </c>
      <c r="M1705" s="30"/>
      <c r="N1705" s="30"/>
      <c r="O1705" s="287">
        <f>IF(ISBLANK(M1705),0,ROUND(K1705*M1705,2))</f>
        <v>0</v>
      </c>
      <c r="P1705" s="287">
        <f>IF(ISBLANK(N1705),0,ROUND(M1705*N1705,2))</f>
        <v>0</v>
      </c>
      <c r="Q1705" s="288"/>
      <c r="R1705" s="243"/>
      <c r="S1705" s="385" t="str">
        <f t="shared" si="324"/>
        <v/>
      </c>
    </row>
    <row r="1706" spans="2:19" ht="13.5" hidden="1" thickBot="1">
      <c r="B1706" s="637" t="s">
        <v>1819</v>
      </c>
      <c r="C1706" s="301" t="s">
        <v>212</v>
      </c>
      <c r="D1706" s="390" t="s">
        <v>248</v>
      </c>
      <c r="E1706" s="788"/>
      <c r="F1706" s="737"/>
      <c r="G1706" s="784"/>
      <c r="H1706" s="605"/>
      <c r="I1706" s="387">
        <v>11.97</v>
      </c>
      <c r="J1706" s="387">
        <f t="shared" si="328"/>
        <v>11.97</v>
      </c>
      <c r="K1706" s="606">
        <f t="shared" si="316"/>
        <v>14.53</v>
      </c>
      <c r="L1706" s="389" t="s">
        <v>18</v>
      </c>
      <c r="M1706" s="30"/>
      <c r="N1706" s="30"/>
      <c r="O1706" s="287">
        <f>IF(ISBLANK(M1706),0,ROUND(K1706*M1706,2))</f>
        <v>0</v>
      </c>
      <c r="P1706" s="287">
        <f>IF(ISBLANK(N1706),0,ROUND(M1706*N1706,2))</f>
        <v>0</v>
      </c>
      <c r="Q1706" s="288"/>
      <c r="R1706" s="243"/>
      <c r="S1706" s="385" t="str">
        <f t="shared" si="324"/>
        <v/>
      </c>
    </row>
    <row r="1707" spans="2:19" ht="13.5" hidden="1" thickBot="1">
      <c r="B1707" s="624" t="s">
        <v>187</v>
      </c>
      <c r="C1707" s="393"/>
      <c r="D1707" s="394" t="s">
        <v>756</v>
      </c>
      <c r="E1707" s="395"/>
      <c r="F1707" s="396"/>
      <c r="G1707" s="397"/>
      <c r="H1707" s="676"/>
      <c r="I1707" s="399"/>
      <c r="J1707" s="399"/>
      <c r="K1707" s="615"/>
      <c r="L1707" s="399" t="s">
        <v>777</v>
      </c>
      <c r="M1707" s="398"/>
      <c r="N1707" s="399"/>
      <c r="O1707" s="399"/>
      <c r="P1707" s="400"/>
      <c r="Q1707" s="288"/>
      <c r="R1707" s="384" t="str">
        <f>IF(SUM(P1708:P1739)&gt;0,"y","")</f>
        <v/>
      </c>
      <c r="S1707" s="385" t="str">
        <f t="shared" si="324"/>
        <v/>
      </c>
    </row>
    <row r="1708" spans="2:19" ht="13.5" hidden="1" thickBot="1">
      <c r="B1708" s="625" t="s">
        <v>187</v>
      </c>
      <c r="C1708" s="401" t="s">
        <v>187</v>
      </c>
      <c r="D1708" s="402"/>
      <c r="E1708" s="403"/>
      <c r="F1708" s="411"/>
      <c r="G1708" s="405"/>
      <c r="H1708" s="404"/>
      <c r="I1708" s="406"/>
      <c r="J1708" s="407"/>
      <c r="K1708" s="616">
        <f t="shared" ref="K1708:K1739" si="330">IF(ISBLANK(J1708),0,ROUND(J1708*(1+$F$10)*(1+$F$11*E1708),2))</f>
        <v>0</v>
      </c>
      <c r="L1708" s="409" t="s">
        <v>777</v>
      </c>
      <c r="M1708" s="425"/>
      <c r="N1708" s="425"/>
      <c r="O1708" s="287">
        <f t="shared" ref="O1708" si="331">IF(ISBLANK(M1708),0,ROUND(K1708*M1708,2))</f>
        <v>0</v>
      </c>
      <c r="P1708" s="391">
        <f t="shared" ref="P1708:P1739" si="332">IF(ISBLANK(N1708),0,ROUND(M1708*N1708,2))</f>
        <v>0</v>
      </c>
      <c r="Q1708" s="288"/>
      <c r="R1708" s="243"/>
      <c r="S1708" s="385" t="str">
        <f t="shared" si="324"/>
        <v/>
      </c>
    </row>
    <row r="1709" spans="2:19" ht="13.5" hidden="1" thickBot="1">
      <c r="B1709" s="625" t="s">
        <v>187</v>
      </c>
      <c r="C1709" s="401" t="s">
        <v>187</v>
      </c>
      <c r="D1709" s="410"/>
      <c r="E1709" s="403"/>
      <c r="F1709" s="411"/>
      <c r="G1709" s="405"/>
      <c r="H1709" s="404"/>
      <c r="I1709" s="406"/>
      <c r="J1709" s="407"/>
      <c r="K1709" s="617">
        <f t="shared" si="330"/>
        <v>0</v>
      </c>
      <c r="L1709" s="409" t="s">
        <v>777</v>
      </c>
      <c r="M1709" s="30"/>
      <c r="N1709" s="30"/>
      <c r="O1709" s="287">
        <f>IF(ISBLANK(M1709),0,ROUND(K1709*M1709,2))</f>
        <v>0</v>
      </c>
      <c r="P1709" s="287">
        <f t="shared" si="332"/>
        <v>0</v>
      </c>
      <c r="Q1709" s="288"/>
      <c r="R1709" s="243"/>
      <c r="S1709" s="385" t="str">
        <f t="shared" si="324"/>
        <v/>
      </c>
    </row>
    <row r="1710" spans="2:19" ht="13.5" hidden="1" thickBot="1">
      <c r="B1710" s="625" t="s">
        <v>187</v>
      </c>
      <c r="C1710" s="401" t="s">
        <v>187</v>
      </c>
      <c r="D1710" s="410"/>
      <c r="E1710" s="403"/>
      <c r="F1710" s="411"/>
      <c r="G1710" s="405"/>
      <c r="H1710" s="404"/>
      <c r="I1710" s="406"/>
      <c r="J1710" s="407"/>
      <c r="K1710" s="617">
        <f t="shared" si="330"/>
        <v>0</v>
      </c>
      <c r="L1710" s="409" t="s">
        <v>777</v>
      </c>
      <c r="M1710" s="30"/>
      <c r="N1710" s="30"/>
      <c r="O1710" s="287">
        <f t="shared" ref="O1710:O1739" si="333">IF(ISBLANK(M1710),0,ROUND(K1710*M1710,2))</f>
        <v>0</v>
      </c>
      <c r="P1710" s="287">
        <f t="shared" si="332"/>
        <v>0</v>
      </c>
      <c r="Q1710" s="288"/>
      <c r="R1710" s="243"/>
      <c r="S1710" s="385" t="str">
        <f t="shared" si="324"/>
        <v/>
      </c>
    </row>
    <row r="1711" spans="2:19" ht="13.5" hidden="1" thickBot="1">
      <c r="B1711" s="625" t="s">
        <v>187</v>
      </c>
      <c r="C1711" s="401" t="s">
        <v>187</v>
      </c>
      <c r="D1711" s="410"/>
      <c r="E1711" s="403"/>
      <c r="F1711" s="411"/>
      <c r="G1711" s="405"/>
      <c r="H1711" s="404"/>
      <c r="I1711" s="406"/>
      <c r="J1711" s="407"/>
      <c r="K1711" s="617">
        <f t="shared" si="330"/>
        <v>0</v>
      </c>
      <c r="L1711" s="409" t="s">
        <v>777</v>
      </c>
      <c r="M1711" s="30"/>
      <c r="N1711" s="30"/>
      <c r="O1711" s="287">
        <f t="shared" si="333"/>
        <v>0</v>
      </c>
      <c r="P1711" s="287">
        <f t="shared" si="332"/>
        <v>0</v>
      </c>
      <c r="Q1711" s="288"/>
      <c r="R1711" s="243"/>
      <c r="S1711" s="385" t="str">
        <f t="shared" si="324"/>
        <v/>
      </c>
    </row>
    <row r="1712" spans="2:19" ht="13.5" hidden="1" thickBot="1">
      <c r="B1712" s="625" t="s">
        <v>187</v>
      </c>
      <c r="C1712" s="401" t="s">
        <v>187</v>
      </c>
      <c r="D1712" s="410"/>
      <c r="E1712" s="403"/>
      <c r="F1712" s="411"/>
      <c r="G1712" s="405"/>
      <c r="H1712" s="404"/>
      <c r="I1712" s="406"/>
      <c r="J1712" s="407"/>
      <c r="K1712" s="617">
        <f t="shared" si="330"/>
        <v>0</v>
      </c>
      <c r="L1712" s="409" t="s">
        <v>777</v>
      </c>
      <c r="M1712" s="30"/>
      <c r="N1712" s="30"/>
      <c r="O1712" s="287">
        <f t="shared" si="333"/>
        <v>0</v>
      </c>
      <c r="P1712" s="287">
        <f t="shared" si="332"/>
        <v>0</v>
      </c>
      <c r="Q1712" s="288"/>
      <c r="R1712" s="243"/>
      <c r="S1712" s="385" t="str">
        <f t="shared" si="324"/>
        <v/>
      </c>
    </row>
    <row r="1713" spans="2:19" ht="13.5" hidden="1" thickBot="1">
      <c r="B1713" s="625" t="s">
        <v>187</v>
      </c>
      <c r="C1713" s="401" t="s">
        <v>187</v>
      </c>
      <c r="D1713" s="410"/>
      <c r="E1713" s="403"/>
      <c r="F1713" s="411"/>
      <c r="G1713" s="405"/>
      <c r="H1713" s="404"/>
      <c r="I1713" s="406"/>
      <c r="J1713" s="407"/>
      <c r="K1713" s="617">
        <f t="shared" si="330"/>
        <v>0</v>
      </c>
      <c r="L1713" s="409" t="s">
        <v>777</v>
      </c>
      <c r="M1713" s="30"/>
      <c r="N1713" s="30"/>
      <c r="O1713" s="287">
        <f t="shared" si="333"/>
        <v>0</v>
      </c>
      <c r="P1713" s="287">
        <f t="shared" si="332"/>
        <v>0</v>
      </c>
      <c r="Q1713" s="288"/>
      <c r="R1713" s="243"/>
      <c r="S1713" s="385" t="str">
        <f t="shared" si="324"/>
        <v/>
      </c>
    </row>
    <row r="1714" spans="2:19" ht="13.5" hidden="1" thickBot="1">
      <c r="B1714" s="625" t="s">
        <v>187</v>
      </c>
      <c r="C1714" s="401" t="s">
        <v>187</v>
      </c>
      <c r="D1714" s="410"/>
      <c r="E1714" s="403"/>
      <c r="F1714" s="411"/>
      <c r="G1714" s="405"/>
      <c r="H1714" s="404"/>
      <c r="I1714" s="406"/>
      <c r="J1714" s="407"/>
      <c r="K1714" s="617">
        <f t="shared" si="330"/>
        <v>0</v>
      </c>
      <c r="L1714" s="409" t="s">
        <v>777</v>
      </c>
      <c r="M1714" s="30"/>
      <c r="N1714" s="30"/>
      <c r="O1714" s="287">
        <f t="shared" si="333"/>
        <v>0</v>
      </c>
      <c r="P1714" s="287">
        <f t="shared" si="332"/>
        <v>0</v>
      </c>
      <c r="Q1714" s="288"/>
      <c r="R1714" s="243"/>
      <c r="S1714" s="385" t="str">
        <f t="shared" si="324"/>
        <v/>
      </c>
    </row>
    <row r="1715" spans="2:19" ht="13.5" hidden="1" thickBot="1">
      <c r="B1715" s="625" t="s">
        <v>187</v>
      </c>
      <c r="C1715" s="401" t="s">
        <v>187</v>
      </c>
      <c r="D1715" s="410"/>
      <c r="E1715" s="403"/>
      <c r="F1715" s="411"/>
      <c r="G1715" s="405"/>
      <c r="H1715" s="404"/>
      <c r="I1715" s="406"/>
      <c r="J1715" s="407"/>
      <c r="K1715" s="617">
        <f t="shared" si="330"/>
        <v>0</v>
      </c>
      <c r="L1715" s="409" t="s">
        <v>777</v>
      </c>
      <c r="M1715" s="30"/>
      <c r="N1715" s="30"/>
      <c r="O1715" s="287">
        <f t="shared" si="333"/>
        <v>0</v>
      </c>
      <c r="P1715" s="287">
        <f t="shared" si="332"/>
        <v>0</v>
      </c>
      <c r="Q1715" s="288"/>
      <c r="R1715" s="243"/>
      <c r="S1715" s="385" t="str">
        <f t="shared" si="324"/>
        <v/>
      </c>
    </row>
    <row r="1716" spans="2:19" ht="13.5" hidden="1" thickBot="1">
      <c r="B1716" s="625" t="s">
        <v>187</v>
      </c>
      <c r="C1716" s="401" t="s">
        <v>187</v>
      </c>
      <c r="D1716" s="410"/>
      <c r="E1716" s="403"/>
      <c r="F1716" s="411"/>
      <c r="G1716" s="405"/>
      <c r="H1716" s="404"/>
      <c r="I1716" s="406"/>
      <c r="J1716" s="407"/>
      <c r="K1716" s="617">
        <f t="shared" si="330"/>
        <v>0</v>
      </c>
      <c r="L1716" s="409" t="s">
        <v>777</v>
      </c>
      <c r="M1716" s="30"/>
      <c r="N1716" s="30"/>
      <c r="O1716" s="287">
        <f t="shared" si="333"/>
        <v>0</v>
      </c>
      <c r="P1716" s="287">
        <f t="shared" si="332"/>
        <v>0</v>
      </c>
      <c r="Q1716" s="288"/>
      <c r="R1716" s="243"/>
      <c r="S1716" s="385" t="str">
        <f t="shared" si="324"/>
        <v/>
      </c>
    </row>
    <row r="1717" spans="2:19" ht="13.5" hidden="1" thickBot="1">
      <c r="B1717" s="625" t="s">
        <v>187</v>
      </c>
      <c r="C1717" s="401" t="s">
        <v>187</v>
      </c>
      <c r="D1717" s="410"/>
      <c r="E1717" s="403"/>
      <c r="F1717" s="411"/>
      <c r="G1717" s="405"/>
      <c r="H1717" s="404"/>
      <c r="I1717" s="406"/>
      <c r="J1717" s="407"/>
      <c r="K1717" s="617">
        <f t="shared" si="330"/>
        <v>0</v>
      </c>
      <c r="L1717" s="409" t="s">
        <v>777</v>
      </c>
      <c r="M1717" s="30"/>
      <c r="N1717" s="30"/>
      <c r="O1717" s="287">
        <f t="shared" si="333"/>
        <v>0</v>
      </c>
      <c r="P1717" s="287">
        <f t="shared" si="332"/>
        <v>0</v>
      </c>
      <c r="Q1717" s="288"/>
      <c r="R1717" s="243"/>
      <c r="S1717" s="385" t="str">
        <f t="shared" si="324"/>
        <v/>
      </c>
    </row>
    <row r="1718" spans="2:19" ht="13.5" hidden="1" thickBot="1">
      <c r="B1718" s="625" t="s">
        <v>187</v>
      </c>
      <c r="C1718" s="401" t="s">
        <v>187</v>
      </c>
      <c r="D1718" s="410"/>
      <c r="E1718" s="403"/>
      <c r="F1718" s="411"/>
      <c r="G1718" s="405"/>
      <c r="H1718" s="404"/>
      <c r="I1718" s="406"/>
      <c r="J1718" s="407"/>
      <c r="K1718" s="617">
        <f t="shared" si="330"/>
        <v>0</v>
      </c>
      <c r="L1718" s="409" t="s">
        <v>777</v>
      </c>
      <c r="M1718" s="30"/>
      <c r="N1718" s="30"/>
      <c r="O1718" s="287">
        <f t="shared" si="333"/>
        <v>0</v>
      </c>
      <c r="P1718" s="287">
        <f t="shared" si="332"/>
        <v>0</v>
      </c>
      <c r="Q1718" s="288"/>
      <c r="R1718" s="243"/>
      <c r="S1718" s="385" t="str">
        <f t="shared" si="324"/>
        <v/>
      </c>
    </row>
    <row r="1719" spans="2:19" ht="13.5" hidden="1" thickBot="1">
      <c r="B1719" s="625" t="s">
        <v>187</v>
      </c>
      <c r="C1719" s="401" t="s">
        <v>187</v>
      </c>
      <c r="D1719" s="410"/>
      <c r="E1719" s="403"/>
      <c r="F1719" s="411"/>
      <c r="G1719" s="405"/>
      <c r="H1719" s="404"/>
      <c r="I1719" s="406"/>
      <c r="J1719" s="407"/>
      <c r="K1719" s="617">
        <f t="shared" si="330"/>
        <v>0</v>
      </c>
      <c r="L1719" s="409" t="s">
        <v>777</v>
      </c>
      <c r="M1719" s="30"/>
      <c r="N1719" s="30"/>
      <c r="O1719" s="287">
        <f t="shared" si="333"/>
        <v>0</v>
      </c>
      <c r="P1719" s="287">
        <f t="shared" si="332"/>
        <v>0</v>
      </c>
      <c r="Q1719" s="288"/>
      <c r="R1719" s="243"/>
      <c r="S1719" s="385" t="str">
        <f t="shared" si="324"/>
        <v/>
      </c>
    </row>
    <row r="1720" spans="2:19" ht="13.5" hidden="1" thickBot="1">
      <c r="B1720" s="625" t="s">
        <v>187</v>
      </c>
      <c r="C1720" s="401" t="s">
        <v>187</v>
      </c>
      <c r="D1720" s="410"/>
      <c r="E1720" s="403"/>
      <c r="F1720" s="411"/>
      <c r="G1720" s="405"/>
      <c r="H1720" s="404"/>
      <c r="I1720" s="406"/>
      <c r="J1720" s="407"/>
      <c r="K1720" s="617">
        <f t="shared" si="330"/>
        <v>0</v>
      </c>
      <c r="L1720" s="409" t="s">
        <v>777</v>
      </c>
      <c r="M1720" s="30"/>
      <c r="N1720" s="30"/>
      <c r="O1720" s="287">
        <f t="shared" si="333"/>
        <v>0</v>
      </c>
      <c r="P1720" s="287">
        <f t="shared" si="332"/>
        <v>0</v>
      </c>
      <c r="Q1720" s="288"/>
      <c r="R1720" s="243"/>
      <c r="S1720" s="385" t="str">
        <f t="shared" si="324"/>
        <v/>
      </c>
    </row>
    <row r="1721" spans="2:19" ht="13.5" hidden="1" thickBot="1">
      <c r="B1721" s="625" t="s">
        <v>187</v>
      </c>
      <c r="C1721" s="401" t="s">
        <v>187</v>
      </c>
      <c r="D1721" s="410"/>
      <c r="E1721" s="403"/>
      <c r="F1721" s="411"/>
      <c r="G1721" s="405"/>
      <c r="H1721" s="404"/>
      <c r="I1721" s="406"/>
      <c r="J1721" s="407"/>
      <c r="K1721" s="617">
        <f t="shared" si="330"/>
        <v>0</v>
      </c>
      <c r="L1721" s="409" t="s">
        <v>777</v>
      </c>
      <c r="M1721" s="30"/>
      <c r="N1721" s="30"/>
      <c r="O1721" s="287">
        <f t="shared" si="333"/>
        <v>0</v>
      </c>
      <c r="P1721" s="287">
        <f t="shared" si="332"/>
        <v>0</v>
      </c>
      <c r="Q1721" s="288"/>
      <c r="R1721" s="243"/>
      <c r="S1721" s="385" t="str">
        <f t="shared" si="324"/>
        <v/>
      </c>
    </row>
    <row r="1722" spans="2:19" ht="13.5" hidden="1" thickBot="1">
      <c r="B1722" s="625" t="s">
        <v>187</v>
      </c>
      <c r="C1722" s="401" t="s">
        <v>187</v>
      </c>
      <c r="D1722" s="410"/>
      <c r="E1722" s="403"/>
      <c r="F1722" s="411"/>
      <c r="G1722" s="405"/>
      <c r="H1722" s="404"/>
      <c r="I1722" s="406"/>
      <c r="J1722" s="407"/>
      <c r="K1722" s="617">
        <f t="shared" si="330"/>
        <v>0</v>
      </c>
      <c r="L1722" s="409" t="s">
        <v>777</v>
      </c>
      <c r="M1722" s="30"/>
      <c r="N1722" s="30"/>
      <c r="O1722" s="287">
        <f t="shared" si="333"/>
        <v>0</v>
      </c>
      <c r="P1722" s="287">
        <f t="shared" si="332"/>
        <v>0</v>
      </c>
      <c r="Q1722" s="288"/>
      <c r="R1722" s="243"/>
      <c r="S1722" s="385" t="str">
        <f t="shared" si="324"/>
        <v/>
      </c>
    </row>
    <row r="1723" spans="2:19" ht="13.5" hidden="1" thickBot="1">
      <c r="B1723" s="625" t="s">
        <v>187</v>
      </c>
      <c r="C1723" s="401" t="s">
        <v>187</v>
      </c>
      <c r="D1723" s="410"/>
      <c r="E1723" s="403"/>
      <c r="F1723" s="411"/>
      <c r="G1723" s="405"/>
      <c r="H1723" s="404"/>
      <c r="I1723" s="406"/>
      <c r="J1723" s="407"/>
      <c r="K1723" s="617">
        <f t="shared" si="330"/>
        <v>0</v>
      </c>
      <c r="L1723" s="409" t="s">
        <v>777</v>
      </c>
      <c r="M1723" s="30"/>
      <c r="N1723" s="30"/>
      <c r="O1723" s="287">
        <f t="shared" si="333"/>
        <v>0</v>
      </c>
      <c r="P1723" s="287">
        <f t="shared" si="332"/>
        <v>0</v>
      </c>
      <c r="Q1723" s="288"/>
      <c r="R1723" s="243"/>
      <c r="S1723" s="385" t="str">
        <f t="shared" si="324"/>
        <v/>
      </c>
    </row>
    <row r="1724" spans="2:19" ht="13.5" hidden="1" thickBot="1">
      <c r="B1724" s="625" t="s">
        <v>187</v>
      </c>
      <c r="C1724" s="401" t="s">
        <v>187</v>
      </c>
      <c r="D1724" s="410"/>
      <c r="E1724" s="403"/>
      <c r="F1724" s="411"/>
      <c r="G1724" s="405"/>
      <c r="H1724" s="404"/>
      <c r="I1724" s="406"/>
      <c r="J1724" s="407"/>
      <c r="K1724" s="617">
        <f t="shared" si="330"/>
        <v>0</v>
      </c>
      <c r="L1724" s="409" t="s">
        <v>777</v>
      </c>
      <c r="M1724" s="30"/>
      <c r="N1724" s="30"/>
      <c r="O1724" s="287">
        <f t="shared" si="333"/>
        <v>0</v>
      </c>
      <c r="P1724" s="287">
        <f t="shared" si="332"/>
        <v>0</v>
      </c>
      <c r="Q1724" s="288"/>
      <c r="R1724" s="243"/>
      <c r="S1724" s="385" t="str">
        <f t="shared" si="324"/>
        <v/>
      </c>
    </row>
    <row r="1725" spans="2:19" ht="13.5" hidden="1" thickBot="1">
      <c r="B1725" s="625" t="s">
        <v>187</v>
      </c>
      <c r="C1725" s="401" t="s">
        <v>187</v>
      </c>
      <c r="D1725" s="410"/>
      <c r="E1725" s="403"/>
      <c r="F1725" s="411"/>
      <c r="G1725" s="405"/>
      <c r="H1725" s="404"/>
      <c r="I1725" s="406"/>
      <c r="J1725" s="407"/>
      <c r="K1725" s="617">
        <f t="shared" si="330"/>
        <v>0</v>
      </c>
      <c r="L1725" s="409" t="s">
        <v>777</v>
      </c>
      <c r="M1725" s="30"/>
      <c r="N1725" s="30"/>
      <c r="O1725" s="287">
        <f t="shared" si="333"/>
        <v>0</v>
      </c>
      <c r="P1725" s="287">
        <f t="shared" si="332"/>
        <v>0</v>
      </c>
      <c r="Q1725" s="288"/>
      <c r="R1725" s="243"/>
      <c r="S1725" s="385" t="str">
        <f t="shared" si="324"/>
        <v/>
      </c>
    </row>
    <row r="1726" spans="2:19" ht="13.5" hidden="1" thickBot="1">
      <c r="B1726" s="625" t="s">
        <v>187</v>
      </c>
      <c r="C1726" s="401" t="s">
        <v>187</v>
      </c>
      <c r="D1726" s="410"/>
      <c r="E1726" s="403"/>
      <c r="F1726" s="411"/>
      <c r="G1726" s="405"/>
      <c r="H1726" s="404"/>
      <c r="I1726" s="406"/>
      <c r="J1726" s="407"/>
      <c r="K1726" s="617">
        <f t="shared" si="330"/>
        <v>0</v>
      </c>
      <c r="L1726" s="409" t="s">
        <v>777</v>
      </c>
      <c r="M1726" s="30"/>
      <c r="N1726" s="30"/>
      <c r="O1726" s="287">
        <f t="shared" si="333"/>
        <v>0</v>
      </c>
      <c r="P1726" s="287">
        <f t="shared" si="332"/>
        <v>0</v>
      </c>
      <c r="Q1726" s="288"/>
      <c r="R1726" s="243"/>
      <c r="S1726" s="385" t="str">
        <f t="shared" si="324"/>
        <v/>
      </c>
    </row>
    <row r="1727" spans="2:19" ht="13.5" hidden="1" thickBot="1">
      <c r="B1727" s="625" t="s">
        <v>187</v>
      </c>
      <c r="C1727" s="401" t="s">
        <v>187</v>
      </c>
      <c r="D1727" s="410"/>
      <c r="E1727" s="403"/>
      <c r="F1727" s="411"/>
      <c r="G1727" s="405"/>
      <c r="H1727" s="404"/>
      <c r="I1727" s="406"/>
      <c r="J1727" s="407"/>
      <c r="K1727" s="617">
        <f t="shared" si="330"/>
        <v>0</v>
      </c>
      <c r="L1727" s="409" t="s">
        <v>777</v>
      </c>
      <c r="M1727" s="30"/>
      <c r="N1727" s="30"/>
      <c r="O1727" s="287">
        <f t="shared" si="333"/>
        <v>0</v>
      </c>
      <c r="P1727" s="287">
        <f t="shared" si="332"/>
        <v>0</v>
      </c>
      <c r="Q1727" s="288"/>
      <c r="R1727" s="243"/>
      <c r="S1727" s="385" t="str">
        <f t="shared" si="324"/>
        <v/>
      </c>
    </row>
    <row r="1728" spans="2:19" ht="13.5" hidden="1" thickBot="1">
      <c r="B1728" s="625" t="s">
        <v>187</v>
      </c>
      <c r="C1728" s="401" t="s">
        <v>187</v>
      </c>
      <c r="D1728" s="410"/>
      <c r="E1728" s="403"/>
      <c r="F1728" s="411"/>
      <c r="G1728" s="405"/>
      <c r="H1728" s="404"/>
      <c r="I1728" s="406"/>
      <c r="J1728" s="407"/>
      <c r="K1728" s="617">
        <f t="shared" si="330"/>
        <v>0</v>
      </c>
      <c r="L1728" s="409" t="s">
        <v>777</v>
      </c>
      <c r="M1728" s="30"/>
      <c r="N1728" s="30"/>
      <c r="O1728" s="287">
        <f t="shared" si="333"/>
        <v>0</v>
      </c>
      <c r="P1728" s="287">
        <f t="shared" si="332"/>
        <v>0</v>
      </c>
      <c r="Q1728" s="288"/>
      <c r="R1728" s="243"/>
      <c r="S1728" s="385" t="str">
        <f t="shared" si="324"/>
        <v/>
      </c>
    </row>
    <row r="1729" spans="2:19" ht="13.5" hidden="1" thickBot="1">
      <c r="B1729" s="625" t="s">
        <v>187</v>
      </c>
      <c r="C1729" s="401" t="s">
        <v>187</v>
      </c>
      <c r="D1729" s="410"/>
      <c r="E1729" s="403"/>
      <c r="F1729" s="411"/>
      <c r="G1729" s="405"/>
      <c r="H1729" s="404"/>
      <c r="I1729" s="406"/>
      <c r="J1729" s="407"/>
      <c r="K1729" s="617">
        <f t="shared" si="330"/>
        <v>0</v>
      </c>
      <c r="L1729" s="409" t="s">
        <v>777</v>
      </c>
      <c r="M1729" s="30"/>
      <c r="N1729" s="30"/>
      <c r="O1729" s="287">
        <f t="shared" si="333"/>
        <v>0</v>
      </c>
      <c r="P1729" s="287">
        <f t="shared" si="332"/>
        <v>0</v>
      </c>
      <c r="Q1729" s="288"/>
      <c r="R1729" s="243"/>
      <c r="S1729" s="385" t="str">
        <f t="shared" si="324"/>
        <v/>
      </c>
    </row>
    <row r="1730" spans="2:19" ht="13.5" hidden="1" thickBot="1">
      <c r="B1730" s="625" t="s">
        <v>187</v>
      </c>
      <c r="C1730" s="401" t="s">
        <v>187</v>
      </c>
      <c r="D1730" s="410"/>
      <c r="E1730" s="403"/>
      <c r="F1730" s="411"/>
      <c r="G1730" s="405"/>
      <c r="H1730" s="404"/>
      <c r="I1730" s="406"/>
      <c r="J1730" s="407"/>
      <c r="K1730" s="617">
        <f t="shared" si="330"/>
        <v>0</v>
      </c>
      <c r="L1730" s="409" t="s">
        <v>777</v>
      </c>
      <c r="M1730" s="30"/>
      <c r="N1730" s="30"/>
      <c r="O1730" s="287">
        <f t="shared" si="333"/>
        <v>0</v>
      </c>
      <c r="P1730" s="287">
        <f t="shared" si="332"/>
        <v>0</v>
      </c>
      <c r="Q1730" s="288"/>
      <c r="R1730" s="243"/>
      <c r="S1730" s="385" t="str">
        <f t="shared" ref="S1730:S1795" si="334">IF(R1730="x","x",IF(R1730="y","x",IF(R1730="xy","x",IF(P1730&gt;0,"x",""))))</f>
        <v/>
      </c>
    </row>
    <row r="1731" spans="2:19" ht="13.5" hidden="1" thickBot="1">
      <c r="B1731" s="625" t="s">
        <v>187</v>
      </c>
      <c r="C1731" s="401" t="s">
        <v>187</v>
      </c>
      <c r="D1731" s="410"/>
      <c r="E1731" s="403"/>
      <c r="F1731" s="411"/>
      <c r="G1731" s="405"/>
      <c r="H1731" s="404"/>
      <c r="I1731" s="406"/>
      <c r="J1731" s="407"/>
      <c r="K1731" s="617">
        <f t="shared" si="330"/>
        <v>0</v>
      </c>
      <c r="L1731" s="409" t="s">
        <v>777</v>
      </c>
      <c r="M1731" s="30"/>
      <c r="N1731" s="30"/>
      <c r="O1731" s="287">
        <f t="shared" si="333"/>
        <v>0</v>
      </c>
      <c r="P1731" s="287">
        <f t="shared" si="332"/>
        <v>0</v>
      </c>
      <c r="Q1731" s="288"/>
      <c r="R1731" s="243"/>
      <c r="S1731" s="385" t="str">
        <f t="shared" si="334"/>
        <v/>
      </c>
    </row>
    <row r="1732" spans="2:19" ht="13.5" hidden="1" thickBot="1">
      <c r="B1732" s="625" t="s">
        <v>187</v>
      </c>
      <c r="C1732" s="401" t="s">
        <v>187</v>
      </c>
      <c r="D1732" s="410"/>
      <c r="E1732" s="403"/>
      <c r="F1732" s="411"/>
      <c r="G1732" s="405"/>
      <c r="H1732" s="404"/>
      <c r="I1732" s="406"/>
      <c r="J1732" s="407"/>
      <c r="K1732" s="617">
        <f t="shared" si="330"/>
        <v>0</v>
      </c>
      <c r="L1732" s="409" t="s">
        <v>777</v>
      </c>
      <c r="M1732" s="30"/>
      <c r="N1732" s="30"/>
      <c r="O1732" s="287">
        <f t="shared" si="333"/>
        <v>0</v>
      </c>
      <c r="P1732" s="287">
        <f t="shared" si="332"/>
        <v>0</v>
      </c>
      <c r="Q1732" s="288"/>
      <c r="R1732" s="243"/>
      <c r="S1732" s="385" t="str">
        <f t="shared" si="334"/>
        <v/>
      </c>
    </row>
    <row r="1733" spans="2:19" ht="13.5" hidden="1" thickBot="1">
      <c r="B1733" s="625" t="s">
        <v>187</v>
      </c>
      <c r="C1733" s="401" t="s">
        <v>187</v>
      </c>
      <c r="D1733" s="410"/>
      <c r="E1733" s="403"/>
      <c r="F1733" s="411"/>
      <c r="G1733" s="405"/>
      <c r="H1733" s="404"/>
      <c r="I1733" s="406"/>
      <c r="J1733" s="407"/>
      <c r="K1733" s="617">
        <f t="shared" si="330"/>
        <v>0</v>
      </c>
      <c r="L1733" s="409" t="s">
        <v>777</v>
      </c>
      <c r="M1733" s="30"/>
      <c r="N1733" s="30"/>
      <c r="O1733" s="287">
        <f t="shared" si="333"/>
        <v>0</v>
      </c>
      <c r="P1733" s="287">
        <f t="shared" si="332"/>
        <v>0</v>
      </c>
      <c r="Q1733" s="288"/>
      <c r="R1733" s="243"/>
      <c r="S1733" s="385" t="str">
        <f t="shared" si="334"/>
        <v/>
      </c>
    </row>
    <row r="1734" spans="2:19" ht="13.5" hidden="1" thickBot="1">
      <c r="B1734" s="625" t="s">
        <v>187</v>
      </c>
      <c r="C1734" s="401" t="s">
        <v>187</v>
      </c>
      <c r="D1734" s="410"/>
      <c r="E1734" s="403"/>
      <c r="F1734" s="411"/>
      <c r="G1734" s="405"/>
      <c r="H1734" s="404"/>
      <c r="I1734" s="406"/>
      <c r="J1734" s="407"/>
      <c r="K1734" s="617">
        <f t="shared" si="330"/>
        <v>0</v>
      </c>
      <c r="L1734" s="409" t="s">
        <v>777</v>
      </c>
      <c r="M1734" s="30"/>
      <c r="N1734" s="30"/>
      <c r="O1734" s="287">
        <f t="shared" si="333"/>
        <v>0</v>
      </c>
      <c r="P1734" s="287">
        <f t="shared" si="332"/>
        <v>0</v>
      </c>
      <c r="Q1734" s="288"/>
      <c r="R1734" s="243"/>
      <c r="S1734" s="385" t="str">
        <f t="shared" si="334"/>
        <v/>
      </c>
    </row>
    <row r="1735" spans="2:19" ht="13.5" hidden="1" thickBot="1">
      <c r="B1735" s="625" t="s">
        <v>187</v>
      </c>
      <c r="C1735" s="401" t="s">
        <v>187</v>
      </c>
      <c r="D1735" s="410"/>
      <c r="E1735" s="403"/>
      <c r="F1735" s="411"/>
      <c r="G1735" s="405"/>
      <c r="H1735" s="404"/>
      <c r="I1735" s="406"/>
      <c r="J1735" s="407"/>
      <c r="K1735" s="617">
        <f t="shared" si="330"/>
        <v>0</v>
      </c>
      <c r="L1735" s="409" t="s">
        <v>777</v>
      </c>
      <c r="M1735" s="30"/>
      <c r="N1735" s="30"/>
      <c r="O1735" s="287">
        <f t="shared" si="333"/>
        <v>0</v>
      </c>
      <c r="P1735" s="287">
        <f t="shared" si="332"/>
        <v>0</v>
      </c>
      <c r="Q1735" s="288"/>
      <c r="R1735" s="243"/>
      <c r="S1735" s="385" t="str">
        <f t="shared" si="334"/>
        <v/>
      </c>
    </row>
    <row r="1736" spans="2:19" ht="13.5" hidden="1" thickBot="1">
      <c r="B1736" s="625" t="s">
        <v>187</v>
      </c>
      <c r="C1736" s="401" t="s">
        <v>187</v>
      </c>
      <c r="D1736" s="410"/>
      <c r="E1736" s="403"/>
      <c r="F1736" s="411"/>
      <c r="G1736" s="405"/>
      <c r="H1736" s="404"/>
      <c r="I1736" s="406"/>
      <c r="J1736" s="407"/>
      <c r="K1736" s="617">
        <f t="shared" si="330"/>
        <v>0</v>
      </c>
      <c r="L1736" s="409" t="s">
        <v>777</v>
      </c>
      <c r="M1736" s="30"/>
      <c r="N1736" s="30"/>
      <c r="O1736" s="287">
        <f t="shared" si="333"/>
        <v>0</v>
      </c>
      <c r="P1736" s="287">
        <f t="shared" si="332"/>
        <v>0</v>
      </c>
      <c r="Q1736" s="288"/>
      <c r="R1736" s="243"/>
      <c r="S1736" s="385" t="str">
        <f t="shared" si="334"/>
        <v/>
      </c>
    </row>
    <row r="1737" spans="2:19" ht="13.5" hidden="1" thickBot="1">
      <c r="B1737" s="625" t="s">
        <v>187</v>
      </c>
      <c r="C1737" s="401" t="s">
        <v>187</v>
      </c>
      <c r="D1737" s="410"/>
      <c r="E1737" s="403"/>
      <c r="F1737" s="411"/>
      <c r="G1737" s="405"/>
      <c r="H1737" s="404"/>
      <c r="I1737" s="406"/>
      <c r="J1737" s="407"/>
      <c r="K1737" s="617">
        <f t="shared" si="330"/>
        <v>0</v>
      </c>
      <c r="L1737" s="409" t="s">
        <v>777</v>
      </c>
      <c r="M1737" s="30"/>
      <c r="N1737" s="30"/>
      <c r="O1737" s="287">
        <f t="shared" si="333"/>
        <v>0</v>
      </c>
      <c r="P1737" s="287">
        <f t="shared" si="332"/>
        <v>0</v>
      </c>
      <c r="Q1737" s="288"/>
      <c r="R1737" s="243"/>
      <c r="S1737" s="385" t="str">
        <f t="shared" si="334"/>
        <v/>
      </c>
    </row>
    <row r="1738" spans="2:19" ht="13.5" hidden="1" thickBot="1">
      <c r="B1738" s="625" t="s">
        <v>187</v>
      </c>
      <c r="C1738" s="401" t="s">
        <v>187</v>
      </c>
      <c r="D1738" s="410"/>
      <c r="E1738" s="403"/>
      <c r="F1738" s="411"/>
      <c r="G1738" s="405"/>
      <c r="H1738" s="404"/>
      <c r="I1738" s="406"/>
      <c r="J1738" s="407"/>
      <c r="K1738" s="617">
        <f t="shared" si="330"/>
        <v>0</v>
      </c>
      <c r="L1738" s="409" t="s">
        <v>777</v>
      </c>
      <c r="M1738" s="30"/>
      <c r="N1738" s="30"/>
      <c r="O1738" s="287">
        <f t="shared" si="333"/>
        <v>0</v>
      </c>
      <c r="P1738" s="287">
        <f t="shared" si="332"/>
        <v>0</v>
      </c>
      <c r="Q1738" s="288"/>
      <c r="R1738" s="243"/>
      <c r="S1738" s="385" t="str">
        <f t="shared" si="334"/>
        <v/>
      </c>
    </row>
    <row r="1739" spans="2:19" ht="13.5" hidden="1" thickBot="1">
      <c r="B1739" s="626" t="s">
        <v>187</v>
      </c>
      <c r="C1739" s="413" t="s">
        <v>187</v>
      </c>
      <c r="D1739" s="414"/>
      <c r="E1739" s="415"/>
      <c r="F1739" s="416"/>
      <c r="G1739" s="417"/>
      <c r="H1739" s="418"/>
      <c r="I1739" s="419"/>
      <c r="J1739" s="420"/>
      <c r="K1739" s="618">
        <f t="shared" si="330"/>
        <v>0</v>
      </c>
      <c r="L1739" s="422" t="s">
        <v>777</v>
      </c>
      <c r="M1739" s="30"/>
      <c r="N1739" s="30"/>
      <c r="O1739" s="423">
        <f t="shared" si="333"/>
        <v>0</v>
      </c>
      <c r="P1739" s="423">
        <f t="shared" si="332"/>
        <v>0</v>
      </c>
      <c r="Q1739" s="288"/>
      <c r="R1739" s="243"/>
      <c r="S1739" s="385" t="str">
        <f t="shared" si="334"/>
        <v/>
      </c>
    </row>
    <row r="1740" spans="2:19" ht="13.5" hidden="1" thickBot="1">
      <c r="B1740" s="627" t="s">
        <v>504</v>
      </c>
      <c r="C1740" s="684"/>
      <c r="D1740" s="685" t="s">
        <v>493</v>
      </c>
      <c r="E1740" s="679"/>
      <c r="F1740" s="665"/>
      <c r="G1740" s="666"/>
      <c r="H1740" s="667"/>
      <c r="I1740" s="619"/>
      <c r="J1740" s="619"/>
      <c r="K1740" s="619"/>
      <c r="L1740" s="619" t="s">
        <v>777</v>
      </c>
      <c r="M1740" s="382"/>
      <c r="N1740" s="383"/>
      <c r="O1740" s="383"/>
      <c r="P1740" s="295"/>
      <c r="Q1740" s="296">
        <f>SUM(P1741:P2617)</f>
        <v>0</v>
      </c>
      <c r="R1740" s="315" t="str">
        <f>IF(Q1740&gt;0,"xy","")</f>
        <v/>
      </c>
      <c r="S1740" s="385" t="str">
        <f t="shared" si="334"/>
        <v/>
      </c>
    </row>
    <row r="1741" spans="2:19" ht="13.5" hidden="1" thickBot="1">
      <c r="B1741" s="609" t="s">
        <v>2028</v>
      </c>
      <c r="C1741" s="610" t="s">
        <v>212</v>
      </c>
      <c r="D1741" s="611" t="s">
        <v>339</v>
      </c>
      <c r="E1741" s="602"/>
      <c r="F1741" s="603">
        <v>0</v>
      </c>
      <c r="G1741" s="604">
        <v>0</v>
      </c>
      <c r="H1741" s="605">
        <v>0</v>
      </c>
      <c r="I1741" s="675">
        <v>41.86</v>
      </c>
      <c r="J1741" s="675">
        <f>IF(ISBLANK(I1741),"",SUM(H1741:I1741))</f>
        <v>41.86</v>
      </c>
      <c r="K1741" s="606">
        <f t="shared" ref="K1741:K1809" si="335">IF(ISBLANK(I1741),0,ROUND(J1741*(1+$F$10)*(1+$F$11*E1741),2))</f>
        <v>50.8</v>
      </c>
      <c r="L1741" s="607" t="s">
        <v>16</v>
      </c>
      <c r="M1741" s="30"/>
      <c r="N1741" s="30"/>
      <c r="O1741" s="287">
        <f t="shared" ref="O1741:O1995" si="336">IF(ISBLANK(M1741),0,ROUND(K1741*M1741,2))</f>
        <v>0</v>
      </c>
      <c r="P1741" s="287">
        <f t="shared" ref="P1741:P1995" si="337">IF(ISBLANK(N1741),0,ROUND(M1741*N1741,2))</f>
        <v>0</v>
      </c>
      <c r="Q1741" s="288"/>
      <c r="R1741" s="243"/>
      <c r="S1741" s="385" t="str">
        <f t="shared" si="334"/>
        <v/>
      </c>
    </row>
    <row r="1742" spans="2:19" ht="13.5" hidden="1" thickBot="1">
      <c r="B1742" s="609">
        <v>600300</v>
      </c>
      <c r="C1742" s="610" t="s">
        <v>212</v>
      </c>
      <c r="D1742" s="611" t="s">
        <v>340</v>
      </c>
      <c r="E1742" s="602"/>
      <c r="F1742" s="603">
        <v>0</v>
      </c>
      <c r="G1742" s="604">
        <v>0</v>
      </c>
      <c r="H1742" s="605">
        <v>0</v>
      </c>
      <c r="I1742" s="675">
        <v>7.68</v>
      </c>
      <c r="J1742" s="675">
        <f t="shared" ref="J1742:J1756" si="338">IF(ISBLANK(I1742),"",SUM(H1742:I1742))</f>
        <v>7.68</v>
      </c>
      <c r="K1742" s="606">
        <f t="shared" si="335"/>
        <v>9.32</v>
      </c>
      <c r="L1742" s="607" t="s">
        <v>16</v>
      </c>
      <c r="M1742" s="30"/>
      <c r="N1742" s="30"/>
      <c r="O1742" s="287">
        <f t="shared" si="336"/>
        <v>0</v>
      </c>
      <c r="P1742" s="287">
        <f t="shared" si="337"/>
        <v>0</v>
      </c>
      <c r="Q1742" s="288"/>
      <c r="R1742" s="243"/>
      <c r="S1742" s="385" t="str">
        <f t="shared" si="334"/>
        <v/>
      </c>
    </row>
    <row r="1743" spans="2:19" ht="13.5" hidden="1" thickBot="1">
      <c r="B1743" s="609">
        <v>600400</v>
      </c>
      <c r="C1743" s="610" t="s">
        <v>212</v>
      </c>
      <c r="D1743" s="611" t="s">
        <v>341</v>
      </c>
      <c r="E1743" s="602"/>
      <c r="F1743" s="603">
        <v>0</v>
      </c>
      <c r="G1743" s="604"/>
      <c r="H1743" s="605"/>
      <c r="I1743" s="675">
        <v>7.83</v>
      </c>
      <c r="J1743" s="675">
        <f t="shared" si="338"/>
        <v>7.83</v>
      </c>
      <c r="K1743" s="606">
        <f t="shared" si="335"/>
        <v>9.5</v>
      </c>
      <c r="L1743" s="607" t="s">
        <v>16</v>
      </c>
      <c r="M1743" s="30"/>
      <c r="N1743" s="30"/>
      <c r="O1743" s="287">
        <f t="shared" si="336"/>
        <v>0</v>
      </c>
      <c r="P1743" s="287">
        <f t="shared" si="337"/>
        <v>0</v>
      </c>
      <c r="Q1743" s="288"/>
      <c r="R1743" s="243"/>
      <c r="S1743" s="385" t="str">
        <f t="shared" si="334"/>
        <v/>
      </c>
    </row>
    <row r="1744" spans="2:19" ht="13.5" hidden="1" thickBot="1">
      <c r="B1744" s="609">
        <v>600500</v>
      </c>
      <c r="C1744" s="610" t="s">
        <v>212</v>
      </c>
      <c r="D1744" s="611" t="s">
        <v>342</v>
      </c>
      <c r="E1744" s="683"/>
      <c r="F1744" s="603">
        <v>0</v>
      </c>
      <c r="G1744" s="604"/>
      <c r="H1744" s="605"/>
      <c r="I1744" s="675">
        <v>52.08</v>
      </c>
      <c r="J1744" s="675">
        <f t="shared" si="338"/>
        <v>52.08</v>
      </c>
      <c r="K1744" s="606">
        <f t="shared" si="335"/>
        <v>63.2</v>
      </c>
      <c r="L1744" s="607" t="s">
        <v>16</v>
      </c>
      <c r="M1744" s="30"/>
      <c r="N1744" s="30"/>
      <c r="O1744" s="287">
        <f t="shared" si="336"/>
        <v>0</v>
      </c>
      <c r="P1744" s="287">
        <f t="shared" si="337"/>
        <v>0</v>
      </c>
      <c r="Q1744" s="288"/>
      <c r="R1744" s="243"/>
      <c r="S1744" s="385" t="str">
        <f t="shared" si="334"/>
        <v/>
      </c>
    </row>
    <row r="1745" spans="2:19" ht="13.5" hidden="1" thickBot="1">
      <c r="B1745" s="609" t="s">
        <v>1896</v>
      </c>
      <c r="C1745" s="610" t="s">
        <v>212</v>
      </c>
      <c r="D1745" s="682" t="s">
        <v>505</v>
      </c>
      <c r="E1745" s="683"/>
      <c r="F1745" s="639"/>
      <c r="G1745" s="673"/>
      <c r="H1745" s="674"/>
      <c r="I1745" s="675">
        <v>113.81</v>
      </c>
      <c r="J1745" s="675">
        <f t="shared" ref="J1745:J1748" si="339">IF(ISBLANK(I1745),"",SUM(H1745:I1745))</f>
        <v>113.81</v>
      </c>
      <c r="K1745" s="606">
        <f t="shared" si="335"/>
        <v>138.11000000000001</v>
      </c>
      <c r="L1745" s="607" t="s">
        <v>21</v>
      </c>
      <c r="M1745" s="30"/>
      <c r="N1745" s="30"/>
      <c r="O1745" s="287">
        <f t="shared" si="336"/>
        <v>0</v>
      </c>
      <c r="P1745" s="287">
        <f t="shared" si="337"/>
        <v>0</v>
      </c>
      <c r="Q1745" s="288"/>
      <c r="R1745" s="243"/>
      <c r="S1745" s="385" t="str">
        <f t="shared" si="334"/>
        <v/>
      </c>
    </row>
    <row r="1746" spans="2:19" ht="13.5" hidden="1" thickBot="1">
      <c r="B1746" s="609" t="s">
        <v>2030</v>
      </c>
      <c r="C1746" s="610" t="s">
        <v>212</v>
      </c>
      <c r="D1746" s="682" t="s">
        <v>789</v>
      </c>
      <c r="E1746" s="683"/>
      <c r="F1746" s="639"/>
      <c r="G1746" s="673"/>
      <c r="H1746" s="674"/>
      <c r="I1746" s="675">
        <v>69.77</v>
      </c>
      <c r="J1746" s="675">
        <f t="shared" si="339"/>
        <v>69.77</v>
      </c>
      <c r="K1746" s="606">
        <f t="shared" si="335"/>
        <v>84.67</v>
      </c>
      <c r="L1746" s="607" t="s">
        <v>19</v>
      </c>
      <c r="M1746" s="30"/>
      <c r="N1746" s="30"/>
      <c r="O1746" s="287">
        <f t="shared" si="336"/>
        <v>0</v>
      </c>
      <c r="P1746" s="287">
        <f t="shared" si="337"/>
        <v>0</v>
      </c>
      <c r="Q1746" s="288"/>
      <c r="R1746" s="243"/>
      <c r="S1746" s="385" t="str">
        <f t="shared" si="334"/>
        <v/>
      </c>
    </row>
    <row r="1747" spans="2:19" ht="13.5" hidden="1" thickBot="1">
      <c r="B1747" s="609" t="s">
        <v>2033</v>
      </c>
      <c r="C1747" s="610" t="s">
        <v>212</v>
      </c>
      <c r="D1747" s="682" t="s">
        <v>790</v>
      </c>
      <c r="E1747" s="683"/>
      <c r="F1747" s="639"/>
      <c r="G1747" s="673"/>
      <c r="H1747" s="674"/>
      <c r="I1747" s="675">
        <v>139.54</v>
      </c>
      <c r="J1747" s="675">
        <f t="shared" si="339"/>
        <v>139.54</v>
      </c>
      <c r="K1747" s="606">
        <f t="shared" si="335"/>
        <v>169.33</v>
      </c>
      <c r="L1747" s="607" t="s">
        <v>19</v>
      </c>
      <c r="M1747" s="30"/>
      <c r="N1747" s="30"/>
      <c r="O1747" s="287">
        <f t="shared" si="336"/>
        <v>0</v>
      </c>
      <c r="P1747" s="287">
        <f t="shared" si="337"/>
        <v>0</v>
      </c>
      <c r="Q1747" s="288"/>
      <c r="R1747" s="243"/>
      <c r="S1747" s="385" t="str">
        <f t="shared" si="334"/>
        <v/>
      </c>
    </row>
    <row r="1748" spans="2:19" ht="13.5" hidden="1" thickBot="1">
      <c r="B1748" s="609" t="s">
        <v>2034</v>
      </c>
      <c r="C1748" s="610" t="s">
        <v>212</v>
      </c>
      <c r="D1748" s="682" t="s">
        <v>791</v>
      </c>
      <c r="E1748" s="602"/>
      <c r="F1748" s="639"/>
      <c r="G1748" s="673"/>
      <c r="H1748" s="674"/>
      <c r="I1748" s="675">
        <v>209.31</v>
      </c>
      <c r="J1748" s="675">
        <f t="shared" si="339"/>
        <v>209.31</v>
      </c>
      <c r="K1748" s="606">
        <f t="shared" si="335"/>
        <v>254</v>
      </c>
      <c r="L1748" s="607" t="s">
        <v>19</v>
      </c>
      <c r="M1748" s="30"/>
      <c r="N1748" s="30"/>
      <c r="O1748" s="287">
        <f t="shared" si="336"/>
        <v>0</v>
      </c>
      <c r="P1748" s="287">
        <f t="shared" si="337"/>
        <v>0</v>
      </c>
      <c r="Q1748" s="288"/>
      <c r="R1748" s="243"/>
      <c r="S1748" s="385" t="str">
        <f t="shared" si="334"/>
        <v/>
      </c>
    </row>
    <row r="1749" spans="2:19" ht="13.5" hidden="1" thickBot="1">
      <c r="B1749" s="609">
        <v>630300</v>
      </c>
      <c r="C1749" s="610" t="s">
        <v>212</v>
      </c>
      <c r="D1749" s="611" t="s">
        <v>343</v>
      </c>
      <c r="E1749" s="602"/>
      <c r="F1749" s="603"/>
      <c r="G1749" s="604"/>
      <c r="H1749" s="674"/>
      <c r="I1749" s="675">
        <v>14.31</v>
      </c>
      <c r="J1749" s="675">
        <f t="shared" si="338"/>
        <v>14.31</v>
      </c>
      <c r="K1749" s="606">
        <f t="shared" si="335"/>
        <v>17.37</v>
      </c>
      <c r="L1749" s="607" t="s">
        <v>19</v>
      </c>
      <c r="M1749" s="30"/>
      <c r="N1749" s="30"/>
      <c r="O1749" s="287">
        <f t="shared" si="336"/>
        <v>0</v>
      </c>
      <c r="P1749" s="287">
        <f t="shared" si="337"/>
        <v>0</v>
      </c>
      <c r="Q1749" s="288"/>
      <c r="R1749" s="243"/>
      <c r="S1749" s="385" t="str">
        <f t="shared" si="334"/>
        <v/>
      </c>
    </row>
    <row r="1750" spans="2:19" ht="13.5" hidden="1" thickBot="1">
      <c r="B1750" s="609">
        <v>630400</v>
      </c>
      <c r="C1750" s="610" t="s">
        <v>212</v>
      </c>
      <c r="D1750" s="648" t="s">
        <v>344</v>
      </c>
      <c r="E1750" s="602"/>
      <c r="F1750" s="603"/>
      <c r="G1750" s="604"/>
      <c r="H1750" s="674"/>
      <c r="I1750" s="675">
        <v>17.89</v>
      </c>
      <c r="J1750" s="675">
        <f t="shared" si="338"/>
        <v>17.89</v>
      </c>
      <c r="K1750" s="606">
        <f t="shared" si="335"/>
        <v>21.71</v>
      </c>
      <c r="L1750" s="607" t="s">
        <v>19</v>
      </c>
      <c r="M1750" s="30"/>
      <c r="N1750" s="30"/>
      <c r="O1750" s="287">
        <f t="shared" si="336"/>
        <v>0</v>
      </c>
      <c r="P1750" s="287">
        <f t="shared" si="337"/>
        <v>0</v>
      </c>
      <c r="Q1750" s="288"/>
      <c r="R1750" s="243"/>
      <c r="S1750" s="385" t="str">
        <f t="shared" si="334"/>
        <v/>
      </c>
    </row>
    <row r="1751" spans="2:19" ht="13.5" hidden="1" thickBot="1">
      <c r="B1751" s="609">
        <v>630500</v>
      </c>
      <c r="C1751" s="610" t="s">
        <v>212</v>
      </c>
      <c r="D1751" s="648" t="s">
        <v>345</v>
      </c>
      <c r="E1751" s="602"/>
      <c r="F1751" s="603"/>
      <c r="G1751" s="604"/>
      <c r="H1751" s="605"/>
      <c r="I1751" s="675">
        <v>19.52</v>
      </c>
      <c r="J1751" s="675">
        <f t="shared" si="338"/>
        <v>19.52</v>
      </c>
      <c r="K1751" s="606">
        <f t="shared" si="335"/>
        <v>23.69</v>
      </c>
      <c r="L1751" s="607" t="s">
        <v>19</v>
      </c>
      <c r="M1751" s="30"/>
      <c r="N1751" s="30"/>
      <c r="O1751" s="287">
        <f t="shared" si="336"/>
        <v>0</v>
      </c>
      <c r="P1751" s="287">
        <f t="shared" si="337"/>
        <v>0</v>
      </c>
      <c r="Q1751" s="288"/>
      <c r="R1751" s="243"/>
      <c r="S1751" s="385" t="str">
        <f t="shared" si="334"/>
        <v/>
      </c>
    </row>
    <row r="1752" spans="2:19" ht="13.5" hidden="1" thickBot="1">
      <c r="B1752" s="609">
        <v>630600</v>
      </c>
      <c r="C1752" s="610" t="s">
        <v>212</v>
      </c>
      <c r="D1752" s="648" t="s">
        <v>346</v>
      </c>
      <c r="E1752" s="602"/>
      <c r="F1752" s="603"/>
      <c r="G1752" s="604"/>
      <c r="H1752" s="605"/>
      <c r="I1752" s="675">
        <v>21.47</v>
      </c>
      <c r="J1752" s="675">
        <f t="shared" si="338"/>
        <v>21.47</v>
      </c>
      <c r="K1752" s="606">
        <f t="shared" si="335"/>
        <v>26.05</v>
      </c>
      <c r="L1752" s="607" t="s">
        <v>19</v>
      </c>
      <c r="M1752" s="30"/>
      <c r="N1752" s="30"/>
      <c r="O1752" s="287">
        <f t="shared" si="336"/>
        <v>0</v>
      </c>
      <c r="P1752" s="287">
        <f t="shared" si="337"/>
        <v>0</v>
      </c>
      <c r="Q1752" s="288"/>
      <c r="R1752" s="243"/>
      <c r="S1752" s="385" t="str">
        <f t="shared" si="334"/>
        <v/>
      </c>
    </row>
    <row r="1753" spans="2:19" ht="13.5" hidden="1" thickBot="1">
      <c r="B1753" s="609">
        <v>630800</v>
      </c>
      <c r="C1753" s="610" t="s">
        <v>212</v>
      </c>
      <c r="D1753" s="611" t="s">
        <v>347</v>
      </c>
      <c r="E1753" s="602"/>
      <c r="F1753" s="603"/>
      <c r="G1753" s="604"/>
      <c r="H1753" s="605"/>
      <c r="I1753" s="675">
        <v>42.95</v>
      </c>
      <c r="J1753" s="675">
        <f t="shared" si="338"/>
        <v>42.95</v>
      </c>
      <c r="K1753" s="606">
        <f t="shared" si="335"/>
        <v>52.12</v>
      </c>
      <c r="L1753" s="607" t="s">
        <v>19</v>
      </c>
      <c r="M1753" s="30"/>
      <c r="N1753" s="30"/>
      <c r="O1753" s="287">
        <f t="shared" si="336"/>
        <v>0</v>
      </c>
      <c r="P1753" s="287">
        <f t="shared" si="337"/>
        <v>0</v>
      </c>
      <c r="Q1753" s="288"/>
      <c r="R1753" s="243"/>
      <c r="S1753" s="385" t="str">
        <f t="shared" si="334"/>
        <v/>
      </c>
    </row>
    <row r="1754" spans="2:19" ht="13.5" hidden="1" thickBot="1">
      <c r="B1754" s="609">
        <v>631000</v>
      </c>
      <c r="C1754" s="610" t="s">
        <v>212</v>
      </c>
      <c r="D1754" s="611" t="s">
        <v>348</v>
      </c>
      <c r="E1754" s="602"/>
      <c r="F1754" s="603"/>
      <c r="G1754" s="604"/>
      <c r="H1754" s="605"/>
      <c r="I1754" s="675">
        <v>33.630000000000003</v>
      </c>
      <c r="J1754" s="675">
        <f t="shared" si="338"/>
        <v>33.630000000000003</v>
      </c>
      <c r="K1754" s="606">
        <f t="shared" si="335"/>
        <v>40.81</v>
      </c>
      <c r="L1754" s="607" t="s">
        <v>19</v>
      </c>
      <c r="M1754" s="30"/>
      <c r="N1754" s="30"/>
      <c r="O1754" s="287">
        <f t="shared" si="336"/>
        <v>0</v>
      </c>
      <c r="P1754" s="287">
        <f t="shared" si="337"/>
        <v>0</v>
      </c>
      <c r="Q1754" s="288"/>
      <c r="R1754" s="243"/>
      <c r="S1754" s="385" t="str">
        <f t="shared" si="334"/>
        <v/>
      </c>
    </row>
    <row r="1755" spans="2:19" ht="13.5" hidden="1" thickBot="1">
      <c r="B1755" s="609">
        <v>631200</v>
      </c>
      <c r="C1755" s="610" t="s">
        <v>212</v>
      </c>
      <c r="D1755" s="611" t="s">
        <v>349</v>
      </c>
      <c r="E1755" s="602"/>
      <c r="F1755" s="603"/>
      <c r="G1755" s="604"/>
      <c r="H1755" s="605"/>
      <c r="I1755" s="675">
        <v>40.36</v>
      </c>
      <c r="J1755" s="675">
        <f t="shared" si="338"/>
        <v>40.36</v>
      </c>
      <c r="K1755" s="606">
        <f t="shared" si="335"/>
        <v>48.98</v>
      </c>
      <c r="L1755" s="607" t="s">
        <v>19</v>
      </c>
      <c r="M1755" s="30"/>
      <c r="N1755" s="30"/>
      <c r="O1755" s="287">
        <f t="shared" si="336"/>
        <v>0</v>
      </c>
      <c r="P1755" s="287">
        <f t="shared" si="337"/>
        <v>0</v>
      </c>
      <c r="Q1755" s="288"/>
      <c r="R1755" s="243"/>
      <c r="S1755" s="385" t="str">
        <f t="shared" si="334"/>
        <v/>
      </c>
    </row>
    <row r="1756" spans="2:19" ht="13.5" hidden="1" thickBot="1">
      <c r="B1756" s="609">
        <v>631500</v>
      </c>
      <c r="C1756" s="610" t="s">
        <v>212</v>
      </c>
      <c r="D1756" s="611" t="s">
        <v>350</v>
      </c>
      <c r="E1756" s="602"/>
      <c r="F1756" s="603"/>
      <c r="G1756" s="604"/>
      <c r="H1756" s="605"/>
      <c r="I1756" s="675">
        <v>50.45</v>
      </c>
      <c r="J1756" s="675">
        <f t="shared" si="338"/>
        <v>50.45</v>
      </c>
      <c r="K1756" s="606">
        <f t="shared" si="335"/>
        <v>61.22</v>
      </c>
      <c r="L1756" s="607" t="s">
        <v>19</v>
      </c>
      <c r="M1756" s="30"/>
      <c r="N1756" s="30"/>
      <c r="O1756" s="287">
        <f t="shared" si="336"/>
        <v>0</v>
      </c>
      <c r="P1756" s="287">
        <f t="shared" si="337"/>
        <v>0</v>
      </c>
      <c r="Q1756" s="288"/>
      <c r="R1756" s="243"/>
      <c r="S1756" s="385" t="str">
        <f t="shared" si="334"/>
        <v/>
      </c>
    </row>
    <row r="1757" spans="2:19" ht="13.5" hidden="1" thickBot="1">
      <c r="B1757" s="609">
        <v>860200</v>
      </c>
      <c r="C1757" s="610" t="s">
        <v>212</v>
      </c>
      <c r="D1757" s="611" t="s">
        <v>1743</v>
      </c>
      <c r="E1757" s="602"/>
      <c r="F1757" s="603"/>
      <c r="G1757" s="604"/>
      <c r="H1757" s="605">
        <f>SUM(H1758:H1759)</f>
        <v>14.852385</v>
      </c>
      <c r="I1757" s="675">
        <v>715.57999999999993</v>
      </c>
      <c r="J1757" s="675">
        <f>IF(ISBLANK(I1757),"",SUM(H1757:I1757))</f>
        <v>730.43238499999995</v>
      </c>
      <c r="K1757" s="606">
        <f t="shared" si="335"/>
        <v>886.38</v>
      </c>
      <c r="L1757" s="607" t="s">
        <v>16</v>
      </c>
      <c r="M1757" s="30"/>
      <c r="N1757" s="30"/>
      <c r="O1757" s="287">
        <f t="shared" si="336"/>
        <v>0</v>
      </c>
      <c r="P1757" s="287">
        <f t="shared" si="337"/>
        <v>0</v>
      </c>
      <c r="Q1757" s="288"/>
      <c r="R1757" s="243"/>
      <c r="S1757" s="385" t="str">
        <f t="shared" si="334"/>
        <v/>
      </c>
    </row>
    <row r="1758" spans="2:19" ht="13.5" hidden="1" thickBot="1">
      <c r="B1758" s="609" t="s">
        <v>168</v>
      </c>
      <c r="C1758" s="610"/>
      <c r="D1758" s="648" t="s">
        <v>1744</v>
      </c>
      <c r="E1758" s="602"/>
      <c r="F1758" s="603">
        <v>10</v>
      </c>
      <c r="G1758" s="604">
        <v>1.7250000000000001</v>
      </c>
      <c r="H1758" s="605">
        <f t="shared" ref="H1758:H1759" si="340">IF(F1758=0,0,IF(F1758&lt;=30,(0.7*F1758+1.45)*G1758,((0.7*30+1.45)+0.58*(F1758-30))*G1758))</f>
        <v>14.57625</v>
      </c>
      <c r="I1758" s="675"/>
      <c r="J1758" s="675"/>
      <c r="K1758" s="606">
        <f t="shared" si="335"/>
        <v>0</v>
      </c>
      <c r="L1758" s="716" t="s">
        <v>777</v>
      </c>
      <c r="M1758" s="614"/>
      <c r="N1758" s="614"/>
      <c r="O1758" s="287">
        <f t="shared" si="336"/>
        <v>0</v>
      </c>
      <c r="P1758" s="287">
        <f t="shared" si="337"/>
        <v>0</v>
      </c>
      <c r="Q1758" s="288"/>
      <c r="R1758" s="315" t="str">
        <f>IF(P1757&gt;0,"xy","")</f>
        <v/>
      </c>
      <c r="S1758" s="385" t="str">
        <f t="shared" si="334"/>
        <v/>
      </c>
    </row>
    <row r="1759" spans="2:19" ht="13.5" hidden="1" thickBot="1">
      <c r="B1759" s="609" t="s">
        <v>168</v>
      </c>
      <c r="C1759" s="610"/>
      <c r="D1759" s="648" t="s">
        <v>351</v>
      </c>
      <c r="E1759" s="602"/>
      <c r="F1759" s="603">
        <v>30</v>
      </c>
      <c r="G1759" s="604">
        <v>1.23E-2</v>
      </c>
      <c r="H1759" s="605">
        <f t="shared" si="340"/>
        <v>0.27613500000000002</v>
      </c>
      <c r="I1759" s="675"/>
      <c r="J1759" s="675"/>
      <c r="K1759" s="606">
        <f t="shared" si="335"/>
        <v>0</v>
      </c>
      <c r="L1759" s="716" t="s">
        <v>777</v>
      </c>
      <c r="M1759" s="614"/>
      <c r="N1759" s="614"/>
      <c r="O1759" s="287">
        <f t="shared" si="336"/>
        <v>0</v>
      </c>
      <c r="P1759" s="287">
        <f t="shared" si="337"/>
        <v>0</v>
      </c>
      <c r="Q1759" s="288"/>
      <c r="R1759" s="315" t="str">
        <f>IF(P1757&gt;0,"xy","")</f>
        <v/>
      </c>
      <c r="S1759" s="385" t="str">
        <f t="shared" si="334"/>
        <v/>
      </c>
    </row>
    <row r="1760" spans="2:19" ht="13.5" hidden="1" thickBot="1">
      <c r="B1760" s="609">
        <v>860100</v>
      </c>
      <c r="C1760" s="610" t="s">
        <v>212</v>
      </c>
      <c r="D1760" s="611" t="s">
        <v>1745</v>
      </c>
      <c r="E1760" s="602"/>
      <c r="F1760" s="603"/>
      <c r="G1760" s="604"/>
      <c r="H1760" s="605">
        <f>SUM(H1761:H1762)</f>
        <v>14.865855</v>
      </c>
      <c r="I1760" s="675">
        <v>805.22</v>
      </c>
      <c r="J1760" s="675">
        <f>IF(ISBLANK(I1760),"",SUM(H1760:I1760))</f>
        <v>820.08585500000004</v>
      </c>
      <c r="K1760" s="606">
        <f t="shared" si="335"/>
        <v>995.17</v>
      </c>
      <c r="L1760" s="607" t="s">
        <v>16</v>
      </c>
      <c r="M1760" s="30"/>
      <c r="N1760" s="30"/>
      <c r="O1760" s="287">
        <f t="shared" si="336"/>
        <v>0</v>
      </c>
      <c r="P1760" s="287">
        <f t="shared" si="337"/>
        <v>0</v>
      </c>
      <c r="Q1760" s="288"/>
      <c r="R1760" s="243"/>
      <c r="S1760" s="385" t="str">
        <f t="shared" si="334"/>
        <v/>
      </c>
    </row>
    <row r="1761" spans="2:19" ht="13.5" hidden="1" thickBot="1">
      <c r="B1761" s="609" t="s">
        <v>168</v>
      </c>
      <c r="C1761" s="610"/>
      <c r="D1761" s="648" t="s">
        <v>1744</v>
      </c>
      <c r="E1761" s="602"/>
      <c r="F1761" s="603">
        <v>10</v>
      </c>
      <c r="G1761" s="604">
        <v>1.7250000000000001</v>
      </c>
      <c r="H1761" s="605">
        <f t="shared" ref="H1761:H1762" si="341">IF(F1761=0,0,IF(F1761&lt;=30,(0.7*F1761+1.45)*G1761,((0.7*30+1.45)+0.58*(F1761-30))*G1761))</f>
        <v>14.57625</v>
      </c>
      <c r="I1761" s="675"/>
      <c r="J1761" s="675"/>
      <c r="K1761" s="606">
        <f t="shared" si="335"/>
        <v>0</v>
      </c>
      <c r="L1761" s="716" t="s">
        <v>777</v>
      </c>
      <c r="M1761" s="614"/>
      <c r="N1761" s="614"/>
      <c r="O1761" s="287">
        <f t="shared" si="336"/>
        <v>0</v>
      </c>
      <c r="P1761" s="287">
        <f t="shared" si="337"/>
        <v>0</v>
      </c>
      <c r="Q1761" s="288"/>
      <c r="R1761" s="315" t="str">
        <f>IF(P1760&gt;0,"xy","")</f>
        <v/>
      </c>
      <c r="S1761" s="385" t="str">
        <f t="shared" si="334"/>
        <v/>
      </c>
    </row>
    <row r="1762" spans="2:19" ht="13.5" hidden="1" thickBot="1">
      <c r="B1762" s="609" t="s">
        <v>168</v>
      </c>
      <c r="C1762" s="610"/>
      <c r="D1762" s="648" t="s">
        <v>351</v>
      </c>
      <c r="E1762" s="602"/>
      <c r="F1762" s="603">
        <v>30</v>
      </c>
      <c r="G1762" s="604">
        <v>1.29E-2</v>
      </c>
      <c r="H1762" s="605">
        <f t="shared" si="341"/>
        <v>0.289605</v>
      </c>
      <c r="I1762" s="675"/>
      <c r="J1762" s="675"/>
      <c r="K1762" s="606">
        <f t="shared" si="335"/>
        <v>0</v>
      </c>
      <c r="L1762" s="716" t="s">
        <v>777</v>
      </c>
      <c r="M1762" s="614"/>
      <c r="N1762" s="614"/>
      <c r="O1762" s="287">
        <f t="shared" si="336"/>
        <v>0</v>
      </c>
      <c r="P1762" s="287">
        <f t="shared" si="337"/>
        <v>0</v>
      </c>
      <c r="Q1762" s="288"/>
      <c r="R1762" s="315" t="str">
        <f>IF(P1760&gt;0,"xy","")</f>
        <v/>
      </c>
      <c r="S1762" s="385" t="str">
        <f t="shared" si="334"/>
        <v/>
      </c>
    </row>
    <row r="1763" spans="2:19" ht="13.5" hidden="1" thickBot="1">
      <c r="B1763" s="609">
        <v>860150</v>
      </c>
      <c r="C1763" s="610" t="s">
        <v>212</v>
      </c>
      <c r="D1763" s="611" t="s">
        <v>1746</v>
      </c>
      <c r="E1763" s="602"/>
      <c r="F1763" s="603"/>
      <c r="G1763" s="604"/>
      <c r="H1763" s="605">
        <f>SUM(H1764:H1765)</f>
        <v>14.767075</v>
      </c>
      <c r="I1763" s="675">
        <v>579.44000000000005</v>
      </c>
      <c r="J1763" s="675">
        <f>IF(ISBLANK(I1763),"",SUM(H1763:I1763))</f>
        <v>594.20707500000003</v>
      </c>
      <c r="K1763" s="606">
        <f t="shared" si="335"/>
        <v>721.07</v>
      </c>
      <c r="L1763" s="607" t="s">
        <v>16</v>
      </c>
      <c r="M1763" s="30"/>
      <c r="N1763" s="30"/>
      <c r="O1763" s="287">
        <f t="shared" si="336"/>
        <v>0</v>
      </c>
      <c r="P1763" s="287">
        <f t="shared" si="337"/>
        <v>0</v>
      </c>
      <c r="Q1763" s="288"/>
      <c r="R1763" s="243"/>
      <c r="S1763" s="385" t="str">
        <f t="shared" si="334"/>
        <v/>
      </c>
    </row>
    <row r="1764" spans="2:19" ht="13.5" hidden="1" thickBot="1">
      <c r="B1764" s="609" t="s">
        <v>168</v>
      </c>
      <c r="C1764" s="610"/>
      <c r="D1764" s="648" t="s">
        <v>1744</v>
      </c>
      <c r="E1764" s="602"/>
      <c r="F1764" s="603">
        <v>10</v>
      </c>
      <c r="G1764" s="604">
        <v>1.7250000000000001</v>
      </c>
      <c r="H1764" s="605">
        <f t="shared" ref="H1764:H1765" si="342">IF(F1764=0,0,IF(F1764&lt;=30,(0.7*F1764+1.45)*G1764,((0.7*30+1.45)+0.58*(F1764-30))*G1764))</f>
        <v>14.57625</v>
      </c>
      <c r="I1764" s="675"/>
      <c r="J1764" s="675"/>
      <c r="K1764" s="606">
        <f t="shared" si="335"/>
        <v>0</v>
      </c>
      <c r="L1764" s="716" t="s">
        <v>777</v>
      </c>
      <c r="M1764" s="614"/>
      <c r="N1764" s="614"/>
      <c r="O1764" s="287">
        <f t="shared" si="336"/>
        <v>0</v>
      </c>
      <c r="P1764" s="287">
        <f t="shared" si="337"/>
        <v>0</v>
      </c>
      <c r="Q1764" s="288"/>
      <c r="R1764" s="315" t="str">
        <f>IF(P1763&gt;0,"xy","")</f>
        <v/>
      </c>
      <c r="S1764" s="385" t="str">
        <f t="shared" si="334"/>
        <v/>
      </c>
    </row>
    <row r="1765" spans="2:19" ht="13.5" hidden="1" thickBot="1">
      <c r="B1765" s="609" t="s">
        <v>168</v>
      </c>
      <c r="C1765" s="610"/>
      <c r="D1765" s="648" t="s">
        <v>351</v>
      </c>
      <c r="E1765" s="602"/>
      <c r="F1765" s="603">
        <v>30</v>
      </c>
      <c r="G1765" s="604">
        <v>8.5000000000000006E-3</v>
      </c>
      <c r="H1765" s="605">
        <f t="shared" si="342"/>
        <v>0.19082499999999999</v>
      </c>
      <c r="I1765" s="675"/>
      <c r="J1765" s="675"/>
      <c r="K1765" s="606">
        <f t="shared" si="335"/>
        <v>0</v>
      </c>
      <c r="L1765" s="716" t="s">
        <v>777</v>
      </c>
      <c r="M1765" s="614"/>
      <c r="N1765" s="614"/>
      <c r="O1765" s="287">
        <f t="shared" si="336"/>
        <v>0</v>
      </c>
      <c r="P1765" s="287">
        <f t="shared" si="337"/>
        <v>0</v>
      </c>
      <c r="Q1765" s="288"/>
      <c r="R1765" s="315" t="str">
        <f>IF(P1763&gt;0,"xy","")</f>
        <v/>
      </c>
      <c r="S1765" s="385" t="str">
        <f t="shared" si="334"/>
        <v/>
      </c>
    </row>
    <row r="1766" spans="2:19" ht="13.5" hidden="1" thickBot="1">
      <c r="B1766" s="609">
        <v>860000</v>
      </c>
      <c r="C1766" s="610" t="s">
        <v>212</v>
      </c>
      <c r="D1766" s="611" t="s">
        <v>1747</v>
      </c>
      <c r="E1766" s="602"/>
      <c r="F1766" s="603"/>
      <c r="G1766" s="604"/>
      <c r="H1766" s="605">
        <f>SUM(H1767:H1768)</f>
        <v>14.780545</v>
      </c>
      <c r="I1766" s="675">
        <v>626.02</v>
      </c>
      <c r="J1766" s="675">
        <f>IF(ISBLANK(I1766),"",SUM(H1766:I1766))</f>
        <v>640.80054499999994</v>
      </c>
      <c r="K1766" s="606">
        <f t="shared" si="335"/>
        <v>777.61</v>
      </c>
      <c r="L1766" s="607" t="s">
        <v>16</v>
      </c>
      <c r="M1766" s="30"/>
      <c r="N1766" s="30"/>
      <c r="O1766" s="287">
        <f t="shared" si="336"/>
        <v>0</v>
      </c>
      <c r="P1766" s="287">
        <f t="shared" si="337"/>
        <v>0</v>
      </c>
      <c r="Q1766" s="288"/>
      <c r="R1766" s="243"/>
      <c r="S1766" s="385" t="str">
        <f t="shared" si="334"/>
        <v/>
      </c>
    </row>
    <row r="1767" spans="2:19" ht="13.5" hidden="1" thickBot="1">
      <c r="B1767" s="609" t="s">
        <v>168</v>
      </c>
      <c r="C1767" s="610"/>
      <c r="D1767" s="648" t="s">
        <v>1744</v>
      </c>
      <c r="E1767" s="602"/>
      <c r="F1767" s="603">
        <v>10</v>
      </c>
      <c r="G1767" s="604">
        <v>1.7250000000000001</v>
      </c>
      <c r="H1767" s="605">
        <f t="shared" ref="H1767:H1768" si="343">IF(F1767=0,0,IF(F1767&lt;=30,(0.7*F1767+1.45)*G1767,((0.7*30+1.45)+0.58*(F1767-30))*G1767))</f>
        <v>14.57625</v>
      </c>
      <c r="I1767" s="675"/>
      <c r="J1767" s="675"/>
      <c r="K1767" s="606">
        <f t="shared" si="335"/>
        <v>0</v>
      </c>
      <c r="L1767" s="716" t="s">
        <v>777</v>
      </c>
      <c r="M1767" s="614"/>
      <c r="N1767" s="614"/>
      <c r="O1767" s="287">
        <f t="shared" si="336"/>
        <v>0</v>
      </c>
      <c r="P1767" s="287">
        <f t="shared" si="337"/>
        <v>0</v>
      </c>
      <c r="Q1767" s="288"/>
      <c r="R1767" s="315" t="str">
        <f>IF(P1766&gt;0,"xy","")</f>
        <v/>
      </c>
      <c r="S1767" s="385" t="str">
        <f t="shared" si="334"/>
        <v/>
      </c>
    </row>
    <row r="1768" spans="2:19" ht="13.5" hidden="1" thickBot="1">
      <c r="B1768" s="609" t="s">
        <v>168</v>
      </c>
      <c r="C1768" s="610"/>
      <c r="D1768" s="648" t="s">
        <v>351</v>
      </c>
      <c r="E1768" s="602"/>
      <c r="F1768" s="603">
        <v>30</v>
      </c>
      <c r="G1768" s="604">
        <v>9.1000000000000004E-3</v>
      </c>
      <c r="H1768" s="605">
        <f t="shared" si="343"/>
        <v>0.204295</v>
      </c>
      <c r="I1768" s="675"/>
      <c r="J1768" s="675"/>
      <c r="K1768" s="606">
        <f t="shared" si="335"/>
        <v>0</v>
      </c>
      <c r="L1768" s="716" t="s">
        <v>777</v>
      </c>
      <c r="M1768" s="614"/>
      <c r="N1768" s="614"/>
      <c r="O1768" s="287">
        <f t="shared" si="336"/>
        <v>0</v>
      </c>
      <c r="P1768" s="287">
        <f t="shared" si="337"/>
        <v>0</v>
      </c>
      <c r="Q1768" s="288"/>
      <c r="R1768" s="315" t="str">
        <f>IF(P1766&gt;0,"xy","")</f>
        <v/>
      </c>
      <c r="S1768" s="385" t="str">
        <f t="shared" si="334"/>
        <v/>
      </c>
    </row>
    <row r="1769" spans="2:19" ht="13.5" hidden="1" thickBot="1">
      <c r="B1769" s="609">
        <v>860017</v>
      </c>
      <c r="C1769" s="610" t="s">
        <v>212</v>
      </c>
      <c r="D1769" s="611" t="s">
        <v>1748</v>
      </c>
      <c r="E1769" s="602"/>
      <c r="F1769" s="603"/>
      <c r="G1769" s="604"/>
      <c r="H1769" s="605">
        <f>SUM(H1770:H1771)</f>
        <v>2.6135749999999995</v>
      </c>
      <c r="I1769" s="675">
        <v>243.32</v>
      </c>
      <c r="J1769" s="675">
        <f>IF(ISBLANK(I1769),"",SUM(H1769:I1769))</f>
        <v>245.93357499999999</v>
      </c>
      <c r="K1769" s="606">
        <f t="shared" si="335"/>
        <v>298.44</v>
      </c>
      <c r="L1769" s="607" t="s">
        <v>16</v>
      </c>
      <c r="M1769" s="30"/>
      <c r="N1769" s="30"/>
      <c r="O1769" s="287">
        <f t="shared" si="336"/>
        <v>0</v>
      </c>
      <c r="P1769" s="287">
        <f t="shared" si="337"/>
        <v>0</v>
      </c>
      <c r="Q1769" s="288"/>
      <c r="R1769" s="243"/>
      <c r="S1769" s="385" t="str">
        <f t="shared" si="334"/>
        <v/>
      </c>
    </row>
    <row r="1770" spans="2:19" ht="13.5" hidden="1" thickBot="1">
      <c r="B1770" s="609" t="s">
        <v>168</v>
      </c>
      <c r="C1770" s="610"/>
      <c r="D1770" s="648" t="s">
        <v>1744</v>
      </c>
      <c r="E1770" s="602"/>
      <c r="F1770" s="603">
        <v>10</v>
      </c>
      <c r="G1770" s="604">
        <v>0.3</v>
      </c>
      <c r="H1770" s="605">
        <f t="shared" ref="H1770:H1771" si="344">IF(F1770=0,0,IF(F1770&lt;=30,(0.7*F1770+1.45)*G1770,((0.7*30+1.45)+0.58*(F1770-30))*G1770))</f>
        <v>2.5349999999999997</v>
      </c>
      <c r="I1770" s="675"/>
      <c r="J1770" s="675"/>
      <c r="K1770" s="606">
        <f t="shared" si="335"/>
        <v>0</v>
      </c>
      <c r="L1770" s="716" t="s">
        <v>777</v>
      </c>
      <c r="M1770" s="614"/>
      <c r="N1770" s="614"/>
      <c r="O1770" s="287">
        <f t="shared" si="336"/>
        <v>0</v>
      </c>
      <c r="P1770" s="287">
        <f t="shared" si="337"/>
        <v>0</v>
      </c>
      <c r="Q1770" s="288"/>
      <c r="R1770" s="315" t="str">
        <f>IF(P1769&gt;0,"xy","")</f>
        <v/>
      </c>
      <c r="S1770" s="385" t="str">
        <f t="shared" si="334"/>
        <v/>
      </c>
    </row>
    <row r="1771" spans="2:19" ht="13.5" hidden="1" thickBot="1">
      <c r="B1771" s="609" t="s">
        <v>168</v>
      </c>
      <c r="C1771" s="610"/>
      <c r="D1771" s="648" t="s">
        <v>351</v>
      </c>
      <c r="E1771" s="602"/>
      <c r="F1771" s="603">
        <v>30</v>
      </c>
      <c r="G1771" s="604">
        <v>3.5000000000000001E-3</v>
      </c>
      <c r="H1771" s="605">
        <f t="shared" si="344"/>
        <v>7.8575000000000006E-2</v>
      </c>
      <c r="I1771" s="675"/>
      <c r="J1771" s="675"/>
      <c r="K1771" s="606">
        <f t="shared" si="335"/>
        <v>0</v>
      </c>
      <c r="L1771" s="716" t="s">
        <v>777</v>
      </c>
      <c r="M1771" s="614"/>
      <c r="N1771" s="614"/>
      <c r="O1771" s="287">
        <f t="shared" si="336"/>
        <v>0</v>
      </c>
      <c r="P1771" s="287">
        <f t="shared" si="337"/>
        <v>0</v>
      </c>
      <c r="Q1771" s="288"/>
      <c r="R1771" s="315" t="str">
        <f>IF(P1769&gt;0,"xy","")</f>
        <v/>
      </c>
      <c r="S1771" s="385" t="str">
        <f t="shared" si="334"/>
        <v/>
      </c>
    </row>
    <row r="1772" spans="2:19" ht="13.5" hidden="1" thickBot="1">
      <c r="B1772" s="609">
        <v>860023</v>
      </c>
      <c r="C1772" s="610" t="s">
        <v>212</v>
      </c>
      <c r="D1772" s="611" t="s">
        <v>1749</v>
      </c>
      <c r="E1772" s="602"/>
      <c r="F1772" s="603"/>
      <c r="G1772" s="604"/>
      <c r="H1772" s="605">
        <f>SUM(H1773:H1774)</f>
        <v>4.4671649999999996</v>
      </c>
      <c r="I1772" s="675">
        <v>287.10000000000002</v>
      </c>
      <c r="J1772" s="675">
        <f>IF(ISBLANK(I1772),"",SUM(H1772:I1772))</f>
        <v>291.56716500000005</v>
      </c>
      <c r="K1772" s="606">
        <f t="shared" si="335"/>
        <v>353.82</v>
      </c>
      <c r="L1772" s="607" t="s">
        <v>16</v>
      </c>
      <c r="M1772" s="30"/>
      <c r="N1772" s="30"/>
      <c r="O1772" s="287">
        <f t="shared" si="336"/>
        <v>0</v>
      </c>
      <c r="P1772" s="287">
        <f t="shared" si="337"/>
        <v>0</v>
      </c>
      <c r="Q1772" s="288"/>
      <c r="R1772" s="243"/>
      <c r="S1772" s="385" t="str">
        <f t="shared" si="334"/>
        <v/>
      </c>
    </row>
    <row r="1773" spans="2:19" ht="13.5" hidden="1" thickBot="1">
      <c r="B1773" s="609" t="s">
        <v>168</v>
      </c>
      <c r="C1773" s="610"/>
      <c r="D1773" s="648" t="s">
        <v>1744</v>
      </c>
      <c r="E1773" s="602"/>
      <c r="F1773" s="603">
        <v>10</v>
      </c>
      <c r="G1773" s="604">
        <v>0.51749999999999996</v>
      </c>
      <c r="H1773" s="605">
        <f t="shared" ref="H1773:H1774" si="345">IF(F1773=0,0,IF(F1773&lt;=30,(0.7*F1773+1.45)*G1773,((0.7*30+1.45)+0.58*(F1773-30))*G1773))</f>
        <v>4.3728749999999996</v>
      </c>
      <c r="I1773" s="675"/>
      <c r="J1773" s="675"/>
      <c r="K1773" s="606">
        <f t="shared" si="335"/>
        <v>0</v>
      </c>
      <c r="L1773" s="716" t="s">
        <v>777</v>
      </c>
      <c r="M1773" s="614"/>
      <c r="N1773" s="614"/>
      <c r="O1773" s="287">
        <f t="shared" si="336"/>
        <v>0</v>
      </c>
      <c r="P1773" s="287">
        <f t="shared" si="337"/>
        <v>0</v>
      </c>
      <c r="Q1773" s="288"/>
      <c r="R1773" s="315" t="str">
        <f>IF(P1772&gt;0,"xy","")</f>
        <v/>
      </c>
      <c r="S1773" s="385" t="str">
        <f t="shared" si="334"/>
        <v/>
      </c>
    </row>
    <row r="1774" spans="2:19" ht="13.5" hidden="1" thickBot="1">
      <c r="B1774" s="609" t="s">
        <v>168</v>
      </c>
      <c r="C1774" s="610"/>
      <c r="D1774" s="648" t="s">
        <v>351</v>
      </c>
      <c r="E1774" s="602"/>
      <c r="F1774" s="603">
        <v>30</v>
      </c>
      <c r="G1774" s="604">
        <v>4.1999999999999997E-3</v>
      </c>
      <c r="H1774" s="605">
        <f t="shared" si="345"/>
        <v>9.4289999999999985E-2</v>
      </c>
      <c r="I1774" s="675"/>
      <c r="J1774" s="675"/>
      <c r="K1774" s="606">
        <f t="shared" si="335"/>
        <v>0</v>
      </c>
      <c r="L1774" s="716" t="s">
        <v>777</v>
      </c>
      <c r="M1774" s="614"/>
      <c r="N1774" s="614"/>
      <c r="O1774" s="287">
        <f t="shared" si="336"/>
        <v>0</v>
      </c>
      <c r="P1774" s="287">
        <f t="shared" si="337"/>
        <v>0</v>
      </c>
      <c r="Q1774" s="288"/>
      <c r="R1774" s="315" t="str">
        <f>IF(P1772&gt;0,"xy","")</f>
        <v/>
      </c>
      <c r="S1774" s="385" t="str">
        <f t="shared" si="334"/>
        <v/>
      </c>
    </row>
    <row r="1775" spans="2:19" ht="13.5" hidden="1" thickBot="1">
      <c r="B1775" s="609">
        <v>861030</v>
      </c>
      <c r="C1775" s="610" t="s">
        <v>212</v>
      </c>
      <c r="D1775" s="611" t="s">
        <v>1750</v>
      </c>
      <c r="E1775" s="602"/>
      <c r="F1775" s="603"/>
      <c r="G1775" s="604"/>
      <c r="H1775" s="605">
        <f>SUM(H1776:H1777)</f>
        <v>14.852385</v>
      </c>
      <c r="I1775" s="675">
        <v>314.88</v>
      </c>
      <c r="J1775" s="675">
        <f>IF(ISBLANK(I1775),"",SUM(H1775:I1775))</f>
        <v>329.73238500000002</v>
      </c>
      <c r="K1775" s="606">
        <f t="shared" si="335"/>
        <v>400.13</v>
      </c>
      <c r="L1775" s="607" t="s">
        <v>16</v>
      </c>
      <c r="M1775" s="30"/>
      <c r="N1775" s="30"/>
      <c r="O1775" s="287">
        <f t="shared" si="336"/>
        <v>0</v>
      </c>
      <c r="P1775" s="287">
        <f t="shared" si="337"/>
        <v>0</v>
      </c>
      <c r="Q1775" s="288"/>
      <c r="R1775" s="243"/>
      <c r="S1775" s="385" t="str">
        <f t="shared" si="334"/>
        <v/>
      </c>
    </row>
    <row r="1776" spans="2:19" ht="13.5" hidden="1" thickBot="1">
      <c r="B1776" s="609" t="s">
        <v>168</v>
      </c>
      <c r="C1776" s="610"/>
      <c r="D1776" s="648" t="s">
        <v>1744</v>
      </c>
      <c r="E1776" s="602"/>
      <c r="F1776" s="603">
        <v>10</v>
      </c>
      <c r="G1776" s="604">
        <v>1.7250000000000001</v>
      </c>
      <c r="H1776" s="605">
        <f t="shared" ref="H1776:H1777" si="346">IF(F1776=0,0,IF(F1776&lt;=30,(0.7*F1776+1.45)*G1776,((0.7*30+1.45)+0.58*(F1776-30))*G1776))</f>
        <v>14.57625</v>
      </c>
      <c r="I1776" s="675"/>
      <c r="J1776" s="675"/>
      <c r="K1776" s="606">
        <f t="shared" si="335"/>
        <v>0</v>
      </c>
      <c r="L1776" s="716" t="s">
        <v>777</v>
      </c>
      <c r="M1776" s="614"/>
      <c r="N1776" s="614"/>
      <c r="O1776" s="287">
        <f t="shared" si="336"/>
        <v>0</v>
      </c>
      <c r="P1776" s="287">
        <f t="shared" si="337"/>
        <v>0</v>
      </c>
      <c r="Q1776" s="288"/>
      <c r="R1776" s="315" t="str">
        <f>IF(P1775&gt;0,"xy","")</f>
        <v/>
      </c>
      <c r="S1776" s="385" t="str">
        <f t="shared" si="334"/>
        <v/>
      </c>
    </row>
    <row r="1777" spans="2:19" ht="13.5" hidden="1" thickBot="1">
      <c r="B1777" s="609" t="s">
        <v>168</v>
      </c>
      <c r="C1777" s="610"/>
      <c r="D1777" s="648" t="s">
        <v>351</v>
      </c>
      <c r="E1777" s="602"/>
      <c r="F1777" s="603">
        <v>30</v>
      </c>
      <c r="G1777" s="604">
        <v>1.23E-2</v>
      </c>
      <c r="H1777" s="605">
        <f t="shared" si="346"/>
        <v>0.27613500000000002</v>
      </c>
      <c r="I1777" s="675"/>
      <c r="J1777" s="675"/>
      <c r="K1777" s="606">
        <f t="shared" si="335"/>
        <v>0</v>
      </c>
      <c r="L1777" s="716" t="s">
        <v>777</v>
      </c>
      <c r="M1777" s="614"/>
      <c r="N1777" s="614"/>
      <c r="O1777" s="287">
        <f t="shared" si="336"/>
        <v>0</v>
      </c>
      <c r="P1777" s="287">
        <f t="shared" si="337"/>
        <v>0</v>
      </c>
      <c r="Q1777" s="288"/>
      <c r="R1777" s="315" t="str">
        <f>IF(P1775&gt;0,"xy","")</f>
        <v/>
      </c>
      <c r="S1777" s="385" t="str">
        <f t="shared" si="334"/>
        <v/>
      </c>
    </row>
    <row r="1778" spans="2:19" ht="13.5" hidden="1" thickBot="1">
      <c r="B1778" s="609" t="s">
        <v>2035</v>
      </c>
      <c r="C1778" s="610" t="s">
        <v>212</v>
      </c>
      <c r="D1778" s="611" t="s">
        <v>1751</v>
      </c>
      <c r="E1778" s="602"/>
      <c r="F1778" s="603"/>
      <c r="G1778" s="604"/>
      <c r="H1778" s="605"/>
      <c r="I1778" s="675">
        <v>28.89</v>
      </c>
      <c r="J1778" s="675">
        <f>IF(ISBLANK(I1778),"",SUM(H1778:I1778))*0.9</f>
        <v>26.001000000000001</v>
      </c>
      <c r="K1778" s="606">
        <f t="shared" si="335"/>
        <v>31.55</v>
      </c>
      <c r="L1778" s="607" t="s">
        <v>16</v>
      </c>
      <c r="M1778" s="30"/>
      <c r="N1778" s="30"/>
      <c r="O1778" s="287">
        <f t="shared" si="336"/>
        <v>0</v>
      </c>
      <c r="P1778" s="287">
        <f t="shared" si="337"/>
        <v>0</v>
      </c>
      <c r="Q1778" s="288"/>
      <c r="R1778" s="243"/>
      <c r="S1778" s="385" t="str">
        <f t="shared" si="334"/>
        <v/>
      </c>
    </row>
    <row r="1779" spans="2:19" ht="13.5" hidden="1" thickBot="1">
      <c r="B1779" s="609" t="s">
        <v>2036</v>
      </c>
      <c r="C1779" s="610" t="s">
        <v>212</v>
      </c>
      <c r="D1779" s="611" t="s">
        <v>353</v>
      </c>
      <c r="E1779" s="602"/>
      <c r="F1779" s="603"/>
      <c r="G1779" s="604"/>
      <c r="H1779" s="605"/>
      <c r="I1779" s="675">
        <v>14.445</v>
      </c>
      <c r="J1779" s="675">
        <f>IF(ISBLANK(I1779),"",SUM(H1779:I1779))*0.9</f>
        <v>13.000500000000001</v>
      </c>
      <c r="K1779" s="606">
        <f t="shared" si="335"/>
        <v>15.78</v>
      </c>
      <c r="L1779" s="607" t="s">
        <v>1760</v>
      </c>
      <c r="M1779" s="30"/>
      <c r="N1779" s="30"/>
      <c r="O1779" s="287">
        <f t="shared" si="336"/>
        <v>0</v>
      </c>
      <c r="P1779" s="287">
        <f t="shared" si="337"/>
        <v>0</v>
      </c>
      <c r="Q1779" s="288"/>
      <c r="R1779" s="243"/>
      <c r="S1779" s="385" t="str">
        <f t="shared" si="334"/>
        <v/>
      </c>
    </row>
    <row r="1780" spans="2:19" ht="13.5" hidden="1" thickBot="1">
      <c r="B1780" s="609" t="s">
        <v>1911</v>
      </c>
      <c r="C1780" s="610" t="s">
        <v>843</v>
      </c>
      <c r="D1780" s="611" t="s">
        <v>1904</v>
      </c>
      <c r="E1780" s="602"/>
      <c r="F1780" s="603"/>
      <c r="G1780" s="604"/>
      <c r="H1780" s="605"/>
      <c r="I1780" s="675">
        <v>155.36000000000001</v>
      </c>
      <c r="J1780" s="675">
        <f t="shared" ref="J1780:J1781" si="347">IF(ISBLANK(I1780),"",SUM(H1780:I1780))</f>
        <v>155.36000000000001</v>
      </c>
      <c r="K1780" s="606">
        <f t="shared" si="335"/>
        <v>188.53</v>
      </c>
      <c r="L1780" s="607" t="s">
        <v>16</v>
      </c>
      <c r="M1780" s="30"/>
      <c r="N1780" s="30"/>
      <c r="O1780" s="287">
        <f t="shared" si="336"/>
        <v>0</v>
      </c>
      <c r="P1780" s="287">
        <f t="shared" si="337"/>
        <v>0</v>
      </c>
      <c r="Q1780" s="288"/>
      <c r="R1780" s="315" t="str">
        <f>IF(P136&gt;0,"xy","")</f>
        <v/>
      </c>
      <c r="S1780" s="385" t="str">
        <f t="shared" si="334"/>
        <v/>
      </c>
    </row>
    <row r="1781" spans="2:19" ht="13.5" hidden="1" thickBot="1">
      <c r="B1781" s="609" t="s">
        <v>1912</v>
      </c>
      <c r="C1781" s="610" t="s">
        <v>843</v>
      </c>
      <c r="D1781" s="611" t="s">
        <v>1906</v>
      </c>
      <c r="E1781" s="602"/>
      <c r="F1781" s="603"/>
      <c r="G1781" s="604"/>
      <c r="H1781" s="605"/>
      <c r="I1781" s="675">
        <v>95.35</v>
      </c>
      <c r="J1781" s="675">
        <f t="shared" si="347"/>
        <v>95.35</v>
      </c>
      <c r="K1781" s="606">
        <f t="shared" si="335"/>
        <v>115.71</v>
      </c>
      <c r="L1781" s="607" t="s">
        <v>16</v>
      </c>
      <c r="M1781" s="30"/>
      <c r="N1781" s="30"/>
      <c r="O1781" s="287">
        <f t="shared" si="336"/>
        <v>0</v>
      </c>
      <c r="P1781" s="287">
        <f t="shared" si="337"/>
        <v>0</v>
      </c>
      <c r="Q1781" s="288"/>
      <c r="R1781" s="315" t="str">
        <f>IF(P137&gt;0,"xy","")</f>
        <v/>
      </c>
      <c r="S1781" s="385" t="str">
        <f t="shared" si="334"/>
        <v/>
      </c>
    </row>
    <row r="1782" spans="2:19" ht="13.5" hidden="1" thickBot="1">
      <c r="B1782" s="609" t="s">
        <v>1913</v>
      </c>
      <c r="C1782" s="610" t="s">
        <v>212</v>
      </c>
      <c r="D1782" s="611" t="s">
        <v>534</v>
      </c>
      <c r="E1782" s="602"/>
      <c r="F1782" s="603"/>
      <c r="G1782" s="604"/>
      <c r="H1782" s="605"/>
      <c r="I1782" s="675">
        <v>154.16</v>
      </c>
      <c r="J1782" s="675">
        <f>IF(ISBLANK(I1782),"",SUM(H1782:I1782))</f>
        <v>154.16</v>
      </c>
      <c r="K1782" s="606">
        <f t="shared" si="335"/>
        <v>187.07</v>
      </c>
      <c r="L1782" s="607" t="s">
        <v>16</v>
      </c>
      <c r="M1782" s="30"/>
      <c r="N1782" s="30"/>
      <c r="O1782" s="287">
        <f t="shared" si="336"/>
        <v>0</v>
      </c>
      <c r="P1782" s="287">
        <f t="shared" si="337"/>
        <v>0</v>
      </c>
      <c r="Q1782" s="288"/>
      <c r="R1782" s="315" t="str">
        <f>IF(P138&gt;0,"xy","")</f>
        <v/>
      </c>
      <c r="S1782" s="385" t="str">
        <f t="shared" si="334"/>
        <v/>
      </c>
    </row>
    <row r="1783" spans="2:19" ht="13.5" hidden="1" thickBot="1">
      <c r="B1783" s="609" t="s">
        <v>1889</v>
      </c>
      <c r="C1783" s="610" t="s">
        <v>212</v>
      </c>
      <c r="D1783" s="611" t="s">
        <v>204</v>
      </c>
      <c r="E1783" s="602"/>
      <c r="F1783" s="603"/>
      <c r="G1783" s="604"/>
      <c r="H1783" s="605">
        <f>IF(F1783&lt;=30,(0.31*F1783+0.77)*G1783,((0.31*30+0.77)+0.31*(F1783-30))*G1783)</f>
        <v>0</v>
      </c>
      <c r="I1783" s="675">
        <v>123.85000000000001</v>
      </c>
      <c r="J1783" s="675">
        <f t="shared" ref="J1783:J1786" si="348">IF(ISBLANK(I1783),"",SUM(H1783:I1783))</f>
        <v>123.85000000000001</v>
      </c>
      <c r="K1783" s="606">
        <f t="shared" si="335"/>
        <v>150.29</v>
      </c>
      <c r="L1783" s="607" t="s">
        <v>16</v>
      </c>
      <c r="M1783" s="30"/>
      <c r="N1783" s="30"/>
      <c r="O1783" s="287">
        <f t="shared" si="336"/>
        <v>0</v>
      </c>
      <c r="P1783" s="287">
        <f t="shared" si="337"/>
        <v>0</v>
      </c>
      <c r="Q1783" s="288"/>
      <c r="R1783" s="315" t="str">
        <f>IF(P138&gt;0,"xy","")</f>
        <v/>
      </c>
      <c r="S1783" s="385" t="str">
        <f t="shared" si="334"/>
        <v/>
      </c>
    </row>
    <row r="1784" spans="2:19" ht="13.5" hidden="1" thickBot="1">
      <c r="B1784" s="609" t="s">
        <v>1885</v>
      </c>
      <c r="C1784" s="610" t="s">
        <v>212</v>
      </c>
      <c r="D1784" s="611" t="s">
        <v>205</v>
      </c>
      <c r="E1784" s="602"/>
      <c r="F1784" s="603"/>
      <c r="G1784" s="604"/>
      <c r="H1784" s="605">
        <f>IF(F1784&lt;=30,(0.31*F1784+0.77)*G1784,((0.31*30+0.77)+0.31*(F1784-30))*G1784)</f>
        <v>0</v>
      </c>
      <c r="I1784" s="675">
        <v>259.06</v>
      </c>
      <c r="J1784" s="675">
        <f t="shared" si="348"/>
        <v>259.06</v>
      </c>
      <c r="K1784" s="606">
        <f t="shared" si="335"/>
        <v>314.37</v>
      </c>
      <c r="L1784" s="607" t="s">
        <v>16</v>
      </c>
      <c r="M1784" s="30"/>
      <c r="N1784" s="30"/>
      <c r="O1784" s="287">
        <f t="shared" si="336"/>
        <v>0</v>
      </c>
      <c r="P1784" s="287">
        <f t="shared" si="337"/>
        <v>0</v>
      </c>
      <c r="Q1784" s="288"/>
      <c r="R1784" s="243"/>
      <c r="S1784" s="385" t="str">
        <f t="shared" si="334"/>
        <v/>
      </c>
    </row>
    <row r="1785" spans="2:19" ht="13.5" hidden="1" thickBot="1">
      <c r="B1785" s="609" t="s">
        <v>1989</v>
      </c>
      <c r="C1785" s="610" t="s">
        <v>212</v>
      </c>
      <c r="D1785" s="611" t="s">
        <v>288</v>
      </c>
      <c r="E1785" s="602"/>
      <c r="F1785" s="603"/>
      <c r="G1785" s="604"/>
      <c r="H1785" s="605">
        <f t="shared" ref="H1785:H1787" si="349">IF(F1785&lt;=30,(0.31*F1785+0.77)*G1785,((0.31*30+0.77)+0.31*(F1785-30))*G1785)</f>
        <v>0</v>
      </c>
      <c r="I1785" s="675">
        <v>90.759999999999991</v>
      </c>
      <c r="J1785" s="675">
        <f t="shared" si="348"/>
        <v>90.759999999999991</v>
      </c>
      <c r="K1785" s="606">
        <f t="shared" si="335"/>
        <v>110.14</v>
      </c>
      <c r="L1785" s="607" t="s">
        <v>18</v>
      </c>
      <c r="M1785" s="30"/>
      <c r="N1785" s="30"/>
      <c r="O1785" s="287">
        <f t="shared" si="336"/>
        <v>0</v>
      </c>
      <c r="P1785" s="287">
        <f t="shared" si="337"/>
        <v>0</v>
      </c>
      <c r="Q1785" s="288"/>
      <c r="R1785" s="315" t="str">
        <f>IF(P138&gt;0,"xy","")</f>
        <v/>
      </c>
      <c r="S1785" s="385" t="str">
        <f t="shared" si="334"/>
        <v/>
      </c>
    </row>
    <row r="1786" spans="2:19" ht="13.5" hidden="1" thickBot="1">
      <c r="B1786" s="609" t="s">
        <v>1992</v>
      </c>
      <c r="C1786" s="610" t="s">
        <v>212</v>
      </c>
      <c r="D1786" s="611" t="s">
        <v>289</v>
      </c>
      <c r="E1786" s="602"/>
      <c r="F1786" s="603"/>
      <c r="G1786" s="604"/>
      <c r="H1786" s="605">
        <f t="shared" si="349"/>
        <v>0</v>
      </c>
      <c r="I1786" s="675">
        <v>18.079999999999998</v>
      </c>
      <c r="J1786" s="675">
        <f t="shared" si="348"/>
        <v>18.079999999999998</v>
      </c>
      <c r="K1786" s="606">
        <f t="shared" si="335"/>
        <v>21.94</v>
      </c>
      <c r="L1786" s="607" t="s">
        <v>23</v>
      </c>
      <c r="M1786" s="30"/>
      <c r="N1786" s="30"/>
      <c r="O1786" s="287">
        <f t="shared" si="336"/>
        <v>0</v>
      </c>
      <c r="P1786" s="287">
        <f t="shared" si="337"/>
        <v>0</v>
      </c>
      <c r="Q1786" s="288"/>
      <c r="R1786" s="315" t="str">
        <f>IF(P138&gt;0,"xy","")</f>
        <v/>
      </c>
      <c r="S1786" s="385" t="str">
        <f t="shared" si="334"/>
        <v/>
      </c>
    </row>
    <row r="1787" spans="2:19" ht="13.5" hidden="1" thickBot="1">
      <c r="B1787" s="609" t="s">
        <v>1995</v>
      </c>
      <c r="C1787" s="610" t="s">
        <v>212</v>
      </c>
      <c r="D1787" s="611" t="s">
        <v>290</v>
      </c>
      <c r="E1787" s="602"/>
      <c r="F1787" s="603"/>
      <c r="G1787" s="604"/>
      <c r="H1787" s="605">
        <f t="shared" si="349"/>
        <v>0</v>
      </c>
      <c r="I1787" s="675">
        <v>19.34</v>
      </c>
      <c r="J1787" s="675">
        <f>IF(ISBLANK(I1787),"",SUM(H1787:I1787))</f>
        <v>19.34</v>
      </c>
      <c r="K1787" s="606">
        <f t="shared" si="335"/>
        <v>23.47</v>
      </c>
      <c r="L1787" s="607" t="s">
        <v>23</v>
      </c>
      <c r="M1787" s="30"/>
      <c r="N1787" s="30"/>
      <c r="O1787" s="287">
        <f t="shared" si="336"/>
        <v>0</v>
      </c>
      <c r="P1787" s="287">
        <f t="shared" si="337"/>
        <v>0</v>
      </c>
      <c r="Q1787" s="288"/>
      <c r="R1787" s="243"/>
      <c r="S1787" s="385" t="str">
        <f t="shared" si="334"/>
        <v/>
      </c>
    </row>
    <row r="1788" spans="2:19" ht="13.5" hidden="1" thickBot="1">
      <c r="B1788" s="609">
        <v>603600</v>
      </c>
      <c r="C1788" s="610" t="s">
        <v>212</v>
      </c>
      <c r="D1788" s="611" t="s">
        <v>354</v>
      </c>
      <c r="E1788" s="602"/>
      <c r="F1788" s="603"/>
      <c r="G1788" s="604"/>
      <c r="H1788" s="605">
        <f>SUM(H1789:H1791)</f>
        <v>100.69250000000001</v>
      </c>
      <c r="I1788" s="675">
        <v>238</v>
      </c>
      <c r="J1788" s="675">
        <f t="shared" ref="J1788" si="350">IF(ISBLANK(I1788),"",SUM(H1788:I1788))</f>
        <v>338.6925</v>
      </c>
      <c r="K1788" s="606">
        <f t="shared" si="335"/>
        <v>411</v>
      </c>
      <c r="L1788" s="607" t="s">
        <v>16</v>
      </c>
      <c r="M1788" s="30"/>
      <c r="N1788" s="30"/>
      <c r="O1788" s="287">
        <f t="shared" si="336"/>
        <v>0</v>
      </c>
      <c r="P1788" s="287">
        <f t="shared" si="337"/>
        <v>0</v>
      </c>
      <c r="Q1788" s="288"/>
      <c r="R1788" s="315" t="str">
        <f>IF(P138&gt;0,"xy","")</f>
        <v/>
      </c>
      <c r="S1788" s="385" t="str">
        <f t="shared" si="334"/>
        <v/>
      </c>
    </row>
    <row r="1789" spans="2:19" ht="13.5" hidden="1" thickBot="1">
      <c r="B1789" s="609" t="s">
        <v>168</v>
      </c>
      <c r="C1789" s="610"/>
      <c r="D1789" s="611" t="s">
        <v>218</v>
      </c>
      <c r="E1789" s="602"/>
      <c r="F1789" s="603">
        <v>500</v>
      </c>
      <c r="G1789" s="604">
        <v>0.1</v>
      </c>
      <c r="H1789" s="605">
        <f>IF(F1789&lt;=30,(0.51*F1789+4.28)*G1789,((0.51*30+4.28)+0.42*(F1789-30))*G1789)</f>
        <v>21.698000000000004</v>
      </c>
      <c r="I1789" s="675"/>
      <c r="J1789" s="675"/>
      <c r="K1789" s="606">
        <f t="shared" si="335"/>
        <v>0</v>
      </c>
      <c r="L1789" s="607"/>
      <c r="M1789" s="614"/>
      <c r="N1789" s="614"/>
      <c r="O1789" s="287">
        <f t="shared" si="336"/>
        <v>0</v>
      </c>
      <c r="P1789" s="287">
        <f t="shared" si="337"/>
        <v>0</v>
      </c>
      <c r="Q1789" s="288"/>
      <c r="R1789" s="315" t="str">
        <f>IF(P1788&gt;0,"xy","")</f>
        <v/>
      </c>
      <c r="S1789" s="385" t="str">
        <f t="shared" si="334"/>
        <v/>
      </c>
    </row>
    <row r="1790" spans="2:19" ht="13.5" hidden="1" thickBot="1">
      <c r="B1790" s="609" t="s">
        <v>168</v>
      </c>
      <c r="C1790" s="610"/>
      <c r="D1790" s="611" t="s">
        <v>256</v>
      </c>
      <c r="E1790" s="602"/>
      <c r="F1790" s="603">
        <v>180</v>
      </c>
      <c r="G1790" s="604">
        <v>0.51</v>
      </c>
      <c r="H1790" s="605">
        <f>IF(F1790=0,0,IF(F1790&lt;=30,(0.7*F1790+1.45)*G1790,((0.7*30+1.45)+0.58*(F1790-30))*G1790))</f>
        <v>55.819500000000005</v>
      </c>
      <c r="I1790" s="675"/>
      <c r="J1790" s="675"/>
      <c r="K1790" s="606">
        <f t="shared" si="335"/>
        <v>0</v>
      </c>
      <c r="L1790" s="607"/>
      <c r="M1790" s="614"/>
      <c r="N1790" s="614"/>
      <c r="O1790" s="287">
        <f t="shared" si="336"/>
        <v>0</v>
      </c>
      <c r="P1790" s="287">
        <f t="shared" si="337"/>
        <v>0</v>
      </c>
      <c r="Q1790" s="288"/>
      <c r="R1790" s="243" t="str">
        <f>IF(P1788&gt;0,"xy","")</f>
        <v/>
      </c>
      <c r="S1790" s="385" t="str">
        <f t="shared" si="334"/>
        <v/>
      </c>
    </row>
    <row r="1791" spans="2:19" ht="13.5" hidden="1" thickBot="1">
      <c r="B1791" s="609" t="s">
        <v>168</v>
      </c>
      <c r="C1791" s="610"/>
      <c r="D1791" s="611" t="s">
        <v>260</v>
      </c>
      <c r="E1791" s="602"/>
      <c r="F1791" s="603">
        <v>20</v>
      </c>
      <c r="G1791" s="604">
        <v>1.5</v>
      </c>
      <c r="H1791" s="605">
        <f>IF(F1791=0,0,IF(F1791&lt;=30,(0.7*F1791+1.45)*G1791,((0.7*30+1.45)+0.58*(F1791-30))*G1791))</f>
        <v>23.174999999999997</v>
      </c>
      <c r="I1791" s="675"/>
      <c r="J1791" s="675"/>
      <c r="K1791" s="606">
        <f t="shared" si="335"/>
        <v>0</v>
      </c>
      <c r="L1791" s="607"/>
      <c r="M1791" s="614"/>
      <c r="N1791" s="614"/>
      <c r="O1791" s="287">
        <f t="shared" si="336"/>
        <v>0</v>
      </c>
      <c r="P1791" s="287">
        <f t="shared" si="337"/>
        <v>0</v>
      </c>
      <c r="Q1791" s="288"/>
      <c r="R1791" s="315" t="str">
        <f>IF(P1788&gt;0,"xy","")</f>
        <v/>
      </c>
      <c r="S1791" s="385" t="str">
        <f t="shared" si="334"/>
        <v/>
      </c>
    </row>
    <row r="1792" spans="2:19" ht="13.5" hidden="1" thickBot="1">
      <c r="B1792" s="609" t="s">
        <v>2025</v>
      </c>
      <c r="C1792" s="610" t="s">
        <v>212</v>
      </c>
      <c r="D1792" s="611" t="s">
        <v>355</v>
      </c>
      <c r="E1792" s="602"/>
      <c r="F1792" s="603">
        <v>20</v>
      </c>
      <c r="G1792" s="604">
        <v>1.8</v>
      </c>
      <c r="H1792" s="605">
        <f t="shared" ref="H1792:H1795" si="351">IF(F1792=0,0,IF(F1792&lt;=30,(0.7*F1792+1.45)*G1792,((0.7*30+1.45)+0.58*(F1792-30))*G1792))</f>
        <v>27.81</v>
      </c>
      <c r="I1792" s="675">
        <v>180.75</v>
      </c>
      <c r="J1792" s="675">
        <f>IF(ISBLANK(I1792),"",SUM(H1792:I1792))</f>
        <v>208.56</v>
      </c>
      <c r="K1792" s="606">
        <f t="shared" si="335"/>
        <v>253.09</v>
      </c>
      <c r="L1792" s="607" t="s">
        <v>16</v>
      </c>
      <c r="M1792" s="30"/>
      <c r="N1792" s="30"/>
      <c r="O1792" s="287">
        <f t="shared" si="336"/>
        <v>0</v>
      </c>
      <c r="P1792" s="287">
        <f t="shared" si="337"/>
        <v>0</v>
      </c>
      <c r="Q1792" s="288"/>
      <c r="R1792" s="315" t="str">
        <f>IF(P138&gt;0,"xy","")</f>
        <v/>
      </c>
      <c r="S1792" s="385" t="str">
        <f t="shared" si="334"/>
        <v/>
      </c>
    </row>
    <row r="1793" spans="2:19" ht="13.5" hidden="1" thickBot="1">
      <c r="B1793" s="609" t="s">
        <v>2026</v>
      </c>
      <c r="C1793" s="610" t="s">
        <v>212</v>
      </c>
      <c r="D1793" s="611" t="s">
        <v>356</v>
      </c>
      <c r="E1793" s="602"/>
      <c r="F1793" s="603">
        <v>20</v>
      </c>
      <c r="G1793" s="604">
        <v>1.5</v>
      </c>
      <c r="H1793" s="605">
        <f t="shared" si="351"/>
        <v>23.174999999999997</v>
      </c>
      <c r="I1793" s="675">
        <v>106.55000000000001</v>
      </c>
      <c r="J1793" s="675">
        <f>IF(ISBLANK(I1793),"",SUM(H1793:I1793))</f>
        <v>129.72500000000002</v>
      </c>
      <c r="K1793" s="606">
        <f t="shared" si="335"/>
        <v>157.41999999999999</v>
      </c>
      <c r="L1793" s="607" t="s">
        <v>16</v>
      </c>
      <c r="M1793" s="30"/>
      <c r="N1793" s="30"/>
      <c r="O1793" s="287">
        <f t="shared" si="336"/>
        <v>0</v>
      </c>
      <c r="P1793" s="287">
        <f t="shared" si="337"/>
        <v>0</v>
      </c>
      <c r="Q1793" s="288"/>
      <c r="R1793" s="315" t="str">
        <f>IF(P138&gt;0,"xy","")</f>
        <v/>
      </c>
      <c r="S1793" s="385" t="str">
        <f t="shared" si="334"/>
        <v/>
      </c>
    </row>
    <row r="1794" spans="2:19" ht="13.5" hidden="1" thickBot="1">
      <c r="B1794" s="609" t="s">
        <v>1933</v>
      </c>
      <c r="C1794" s="610" t="s">
        <v>212</v>
      </c>
      <c r="D1794" s="611" t="s">
        <v>357</v>
      </c>
      <c r="E1794" s="602"/>
      <c r="F1794" s="603">
        <v>20</v>
      </c>
      <c r="G1794" s="604">
        <v>1.7250000000000001</v>
      </c>
      <c r="H1794" s="605">
        <f t="shared" si="351"/>
        <v>26.651250000000001</v>
      </c>
      <c r="I1794" s="675">
        <v>64.550000000000011</v>
      </c>
      <c r="J1794" s="675">
        <f>IF(ISBLANK(I1794),"",SUM(H1794:I1794))</f>
        <v>91.201250000000016</v>
      </c>
      <c r="K1794" s="606">
        <f t="shared" si="335"/>
        <v>110.67</v>
      </c>
      <c r="L1794" s="607" t="s">
        <v>16</v>
      </c>
      <c r="M1794" s="30"/>
      <c r="N1794" s="442"/>
      <c r="O1794" s="287">
        <f t="shared" si="336"/>
        <v>0</v>
      </c>
      <c r="P1794" s="287">
        <f t="shared" si="337"/>
        <v>0</v>
      </c>
      <c r="Q1794" s="288"/>
      <c r="R1794" s="243"/>
      <c r="S1794" s="385" t="str">
        <f t="shared" si="334"/>
        <v/>
      </c>
    </row>
    <row r="1795" spans="2:19" ht="13.5" hidden="1" thickBot="1">
      <c r="B1795" s="609" t="s">
        <v>1934</v>
      </c>
      <c r="C1795" s="610" t="s">
        <v>212</v>
      </c>
      <c r="D1795" s="611" t="s">
        <v>358</v>
      </c>
      <c r="E1795" s="602"/>
      <c r="F1795" s="603">
        <v>20</v>
      </c>
      <c r="G1795" s="604">
        <v>1.5</v>
      </c>
      <c r="H1795" s="605">
        <f t="shared" si="351"/>
        <v>23.174999999999997</v>
      </c>
      <c r="I1795" s="675">
        <v>107.99000000000001</v>
      </c>
      <c r="J1795" s="675">
        <f>IF(ISBLANK(I1795),"",SUM(H1795:I1795))</f>
        <v>131.16500000000002</v>
      </c>
      <c r="K1795" s="606">
        <f t="shared" si="335"/>
        <v>159.16999999999999</v>
      </c>
      <c r="L1795" s="607" t="s">
        <v>16</v>
      </c>
      <c r="M1795" s="30"/>
      <c r="N1795" s="30"/>
      <c r="O1795" s="287">
        <f t="shared" si="336"/>
        <v>0</v>
      </c>
      <c r="P1795" s="287">
        <f t="shared" si="337"/>
        <v>0</v>
      </c>
      <c r="Q1795" s="288"/>
      <c r="R1795" s="315" t="str">
        <f>IF(P138&gt;0,"xy","")</f>
        <v/>
      </c>
      <c r="S1795" s="385" t="str">
        <f t="shared" si="334"/>
        <v/>
      </c>
    </row>
    <row r="1796" spans="2:19" ht="13.5" hidden="1" thickBot="1">
      <c r="B1796" s="609" t="s">
        <v>2004</v>
      </c>
      <c r="C1796" s="610" t="s">
        <v>212</v>
      </c>
      <c r="D1796" s="611" t="s">
        <v>286</v>
      </c>
      <c r="E1796" s="602"/>
      <c r="F1796" s="603"/>
      <c r="G1796" s="604"/>
      <c r="H1796" s="605">
        <f>SUM(H1797:H1799)</f>
        <v>172.22290000000001</v>
      </c>
      <c r="I1796" s="675">
        <v>340.38</v>
      </c>
      <c r="J1796" s="675">
        <f t="shared" ref="J1796" si="352">IF(ISBLANK(I1796),"",SUM(H1796:I1796))</f>
        <v>512.60289999999998</v>
      </c>
      <c r="K1796" s="606">
        <f t="shared" si="335"/>
        <v>622.04</v>
      </c>
      <c r="L1796" s="607" t="s">
        <v>16</v>
      </c>
      <c r="M1796" s="30"/>
      <c r="N1796" s="30"/>
      <c r="O1796" s="287">
        <f t="shared" si="336"/>
        <v>0</v>
      </c>
      <c r="P1796" s="287">
        <f t="shared" si="337"/>
        <v>0</v>
      </c>
      <c r="Q1796" s="288"/>
      <c r="R1796" s="243"/>
      <c r="S1796" s="385" t="str">
        <f t="shared" ref="S1796:S1863" si="353">IF(R1796="x","x",IF(R1796="y","x",IF(R1796="xy","x",IF(P1796&gt;0,"x",""))))</f>
        <v/>
      </c>
    </row>
    <row r="1797" spans="2:19" ht="13.5" hidden="1" thickBot="1">
      <c r="B1797" s="609" t="s">
        <v>168</v>
      </c>
      <c r="C1797" s="610" t="s">
        <v>168</v>
      </c>
      <c r="D1797" s="648" t="s">
        <v>218</v>
      </c>
      <c r="E1797" s="602"/>
      <c r="F1797" s="603">
        <v>500</v>
      </c>
      <c r="G1797" s="604">
        <v>0.18</v>
      </c>
      <c r="H1797" s="605">
        <f>IF(F1797&lt;=30,(0.51*F1797+4.28)*G1797,((0.51*30+4.28)+0.42*(F1797-30))*G1797)</f>
        <v>39.056400000000004</v>
      </c>
      <c r="I1797" s="675">
        <v>0</v>
      </c>
      <c r="J1797" s="675"/>
      <c r="K1797" s="606">
        <f t="shared" si="335"/>
        <v>0</v>
      </c>
      <c r="L1797" s="607" t="s">
        <v>16</v>
      </c>
      <c r="M1797" s="30"/>
      <c r="N1797" s="30"/>
      <c r="O1797" s="287">
        <f t="shared" si="336"/>
        <v>0</v>
      </c>
      <c r="P1797" s="287">
        <f t="shared" si="337"/>
        <v>0</v>
      </c>
      <c r="Q1797" s="288"/>
      <c r="R1797" s="243"/>
      <c r="S1797" s="385" t="str">
        <f t="shared" si="353"/>
        <v/>
      </c>
    </row>
    <row r="1798" spans="2:19" ht="13.5" hidden="1" thickBot="1">
      <c r="B1798" s="609" t="s">
        <v>168</v>
      </c>
      <c r="C1798" s="610" t="s">
        <v>168</v>
      </c>
      <c r="D1798" s="648" t="s">
        <v>256</v>
      </c>
      <c r="E1798" s="602"/>
      <c r="F1798" s="603">
        <v>180</v>
      </c>
      <c r="G1798" s="604">
        <v>1.06</v>
      </c>
      <c r="H1798" s="608">
        <f t="shared" ref="H1798:H1799" si="354">IF(F1798&lt;=30,(0.7*F1798+1.45)*G1798,((0.7*30+1.45)+0.58*(F1798-30))*G1798)</f>
        <v>116.01700000000001</v>
      </c>
      <c r="I1798" s="675">
        <v>0</v>
      </c>
      <c r="J1798" s="675"/>
      <c r="K1798" s="606">
        <f t="shared" si="335"/>
        <v>0</v>
      </c>
      <c r="L1798" s="607" t="s">
        <v>16</v>
      </c>
      <c r="M1798" s="30"/>
      <c r="N1798" s="30"/>
      <c r="O1798" s="287">
        <f t="shared" si="336"/>
        <v>0</v>
      </c>
      <c r="P1798" s="287">
        <f t="shared" si="337"/>
        <v>0</v>
      </c>
      <c r="Q1798" s="288"/>
      <c r="R1798" s="243"/>
      <c r="S1798" s="385" t="str">
        <f t="shared" si="353"/>
        <v/>
      </c>
    </row>
    <row r="1799" spans="2:19" ht="13.5" hidden="1" thickBot="1">
      <c r="B1799" s="609" t="s">
        <v>168</v>
      </c>
      <c r="C1799" s="610" t="s">
        <v>168</v>
      </c>
      <c r="D1799" s="648" t="s">
        <v>260</v>
      </c>
      <c r="E1799" s="602"/>
      <c r="F1799" s="603">
        <v>20</v>
      </c>
      <c r="G1799" s="604">
        <v>1.1100000000000001</v>
      </c>
      <c r="H1799" s="608">
        <f t="shared" si="354"/>
        <v>17.1495</v>
      </c>
      <c r="I1799" s="675">
        <v>0</v>
      </c>
      <c r="J1799" s="675"/>
      <c r="K1799" s="606">
        <f t="shared" si="335"/>
        <v>0</v>
      </c>
      <c r="L1799" s="607" t="s">
        <v>16</v>
      </c>
      <c r="M1799" s="30"/>
      <c r="N1799" s="30"/>
      <c r="O1799" s="287">
        <f t="shared" si="336"/>
        <v>0</v>
      </c>
      <c r="P1799" s="287">
        <f t="shared" si="337"/>
        <v>0</v>
      </c>
      <c r="Q1799" s="288"/>
      <c r="R1799" s="243"/>
      <c r="S1799" s="385" t="str">
        <f t="shared" si="353"/>
        <v/>
      </c>
    </row>
    <row r="1800" spans="2:19" ht="13.5" hidden="1" thickBot="1">
      <c r="B1800" s="609">
        <v>603500</v>
      </c>
      <c r="C1800" s="610" t="s">
        <v>212</v>
      </c>
      <c r="D1800" s="611" t="s">
        <v>359</v>
      </c>
      <c r="E1800" s="602"/>
      <c r="F1800" s="603"/>
      <c r="G1800" s="604"/>
      <c r="H1800" s="605">
        <f>IF(F1800&lt;=30,(0.31*F1800+0.77)*G1800,((0.31*30+0.77)+0.31*(F1800-30))*G1800)</f>
        <v>0</v>
      </c>
      <c r="I1800" s="675">
        <v>1141.6199999999999</v>
      </c>
      <c r="J1800" s="675">
        <f>IF(ISBLANK(I1800),"",SUM(H1800:I1800))</f>
        <v>1141.6199999999999</v>
      </c>
      <c r="K1800" s="606">
        <f t="shared" si="335"/>
        <v>1385.36</v>
      </c>
      <c r="L1800" s="607" t="s">
        <v>16</v>
      </c>
      <c r="M1800" s="30"/>
      <c r="N1800" s="30"/>
      <c r="O1800" s="287">
        <f t="shared" si="336"/>
        <v>0</v>
      </c>
      <c r="P1800" s="287">
        <f t="shared" si="337"/>
        <v>0</v>
      </c>
      <c r="Q1800" s="288"/>
      <c r="R1800" s="315" t="str">
        <f>IF(P138&gt;0,"xy","")</f>
        <v/>
      </c>
      <c r="S1800" s="385" t="str">
        <f t="shared" si="353"/>
        <v/>
      </c>
    </row>
    <row r="1801" spans="2:19" ht="13.5" hidden="1" thickBot="1">
      <c r="B1801" s="609">
        <v>95474</v>
      </c>
      <c r="C1801" s="610" t="s">
        <v>211</v>
      </c>
      <c r="D1801" s="611" t="s">
        <v>360</v>
      </c>
      <c r="E1801" s="602"/>
      <c r="F1801" s="603"/>
      <c r="G1801" s="604"/>
      <c r="H1801" s="605">
        <f>IF(F1801&lt;=30,(0.31*F1801+0.77)*G1801,((0.31*30+0.77)+0.31*(F1801-30))*G1801)</f>
        <v>0</v>
      </c>
      <c r="I1801" s="675">
        <v>542.82000000000005</v>
      </c>
      <c r="J1801" s="675">
        <f>IF(ISBLANK(I1801),"",SUM(H1801:I1801))*0.86</f>
        <v>466.82520000000005</v>
      </c>
      <c r="K1801" s="606">
        <f t="shared" si="335"/>
        <v>566.49</v>
      </c>
      <c r="L1801" s="607" t="s">
        <v>16</v>
      </c>
      <c r="M1801" s="30"/>
      <c r="N1801" s="30"/>
      <c r="O1801" s="287">
        <f t="shared" si="336"/>
        <v>0</v>
      </c>
      <c r="P1801" s="287">
        <f t="shared" si="337"/>
        <v>0</v>
      </c>
      <c r="Q1801" s="288"/>
      <c r="R1801" s="315" t="str">
        <f>IF(P138&gt;0,"xy","")</f>
        <v/>
      </c>
      <c r="S1801" s="385" t="str">
        <f t="shared" si="353"/>
        <v/>
      </c>
    </row>
    <row r="1802" spans="2:19" ht="13.5" hidden="1" thickBot="1">
      <c r="B1802" s="609">
        <v>604000</v>
      </c>
      <c r="C1802" s="610" t="s">
        <v>212</v>
      </c>
      <c r="D1802" s="611" t="s">
        <v>361</v>
      </c>
      <c r="E1802" s="602"/>
      <c r="F1802" s="603"/>
      <c r="G1802" s="604"/>
      <c r="H1802" s="605">
        <f>SUM(H1803:H1804)</f>
        <v>266.55306999999999</v>
      </c>
      <c r="I1802" s="675">
        <v>412.45000000000005</v>
      </c>
      <c r="J1802" s="675">
        <f>IF(ISBLANK(I1802),"",SUM(H1802:I1802))</f>
        <v>679.00306999999998</v>
      </c>
      <c r="K1802" s="606">
        <f t="shared" si="335"/>
        <v>823.97</v>
      </c>
      <c r="L1802" s="607" t="s">
        <v>16</v>
      </c>
      <c r="M1802" s="30"/>
      <c r="N1802" s="30"/>
      <c r="O1802" s="287">
        <f t="shared" si="336"/>
        <v>0</v>
      </c>
      <c r="P1802" s="287">
        <f t="shared" si="337"/>
        <v>0</v>
      </c>
      <c r="Q1802" s="288"/>
      <c r="R1802" s="243"/>
      <c r="S1802" s="385" t="str">
        <f t="shared" si="353"/>
        <v/>
      </c>
    </row>
    <row r="1803" spans="2:19" ht="13.5" hidden="1" thickBot="1">
      <c r="B1803" s="609" t="s">
        <v>168</v>
      </c>
      <c r="C1803" s="610"/>
      <c r="D1803" s="611" t="s">
        <v>218</v>
      </c>
      <c r="E1803" s="602"/>
      <c r="F1803" s="603">
        <v>500</v>
      </c>
      <c r="G1803" s="604">
        <v>0.434</v>
      </c>
      <c r="H1803" s="605">
        <f>IF(F1803&lt;=30,(0.51*F1803+4.28)*G1803,((0.51*30+4.28)+0.42*(F1803-30))*G1803)</f>
        <v>94.169320000000013</v>
      </c>
      <c r="I1803" s="675"/>
      <c r="J1803" s="675"/>
      <c r="K1803" s="606">
        <f t="shared" si="335"/>
        <v>0</v>
      </c>
      <c r="L1803" s="607"/>
      <c r="M1803" s="614"/>
      <c r="N1803" s="614"/>
      <c r="O1803" s="287">
        <f t="shared" si="336"/>
        <v>0</v>
      </c>
      <c r="P1803" s="287">
        <f t="shared" si="337"/>
        <v>0</v>
      </c>
      <c r="Q1803" s="288"/>
      <c r="R1803" s="315" t="str">
        <f>IF(P138&gt;0,"xy","")</f>
        <v/>
      </c>
      <c r="S1803" s="385" t="str">
        <f t="shared" si="353"/>
        <v/>
      </c>
    </row>
    <row r="1804" spans="2:19" ht="13.5" hidden="1" thickBot="1">
      <c r="B1804" s="609" t="s">
        <v>168</v>
      </c>
      <c r="C1804" s="610"/>
      <c r="D1804" s="611" t="s">
        <v>256</v>
      </c>
      <c r="E1804" s="602"/>
      <c r="F1804" s="603">
        <v>180</v>
      </c>
      <c r="G1804" s="604">
        <v>1.575</v>
      </c>
      <c r="H1804" s="605">
        <f>IF(F1804=0,0,IF(F1804&lt;=30,(0.7*F1804+1.45)*G1804,((0.7*30+1.45)+0.58*(F1804-30))*G1804))</f>
        <v>172.38374999999999</v>
      </c>
      <c r="I1804" s="675"/>
      <c r="J1804" s="675"/>
      <c r="K1804" s="606">
        <f t="shared" si="335"/>
        <v>0</v>
      </c>
      <c r="L1804" s="607"/>
      <c r="M1804" s="614"/>
      <c r="N1804" s="614"/>
      <c r="O1804" s="287">
        <f t="shared" si="336"/>
        <v>0</v>
      </c>
      <c r="P1804" s="287">
        <f t="shared" si="337"/>
        <v>0</v>
      </c>
      <c r="Q1804" s="288"/>
      <c r="R1804" s="315" t="str">
        <f>IF(P138&gt;0,"xy","")</f>
        <v/>
      </c>
      <c r="S1804" s="385" t="str">
        <f t="shared" si="353"/>
        <v/>
      </c>
    </row>
    <row r="1805" spans="2:19" ht="13.5" hidden="1" thickBot="1">
      <c r="B1805" s="609">
        <v>604100</v>
      </c>
      <c r="C1805" s="610" t="s">
        <v>212</v>
      </c>
      <c r="D1805" s="611" t="s">
        <v>362</v>
      </c>
      <c r="E1805" s="602"/>
      <c r="F1805" s="603"/>
      <c r="G1805" s="604"/>
      <c r="H1805" s="605">
        <f>SUM(H1806:H1807)</f>
        <v>276.09250000000003</v>
      </c>
      <c r="I1805" s="675">
        <v>365.63</v>
      </c>
      <c r="J1805" s="675">
        <f>IF(ISBLANK(I1805),"",SUM(H1805:I1805))</f>
        <v>641.72250000000008</v>
      </c>
      <c r="K1805" s="606">
        <f t="shared" si="335"/>
        <v>778.73</v>
      </c>
      <c r="L1805" s="607" t="s">
        <v>16</v>
      </c>
      <c r="M1805" s="30"/>
      <c r="N1805" s="30"/>
      <c r="O1805" s="287">
        <f t="shared" si="336"/>
        <v>0</v>
      </c>
      <c r="P1805" s="287">
        <f t="shared" si="337"/>
        <v>0</v>
      </c>
      <c r="Q1805" s="288"/>
      <c r="R1805" s="315" t="str">
        <f>IF(P138&gt;0,"xy","")</f>
        <v/>
      </c>
      <c r="S1805" s="385" t="str">
        <f t="shared" si="353"/>
        <v/>
      </c>
    </row>
    <row r="1806" spans="2:19" ht="13.5" hidden="1" thickBot="1">
      <c r="B1806" s="609" t="s">
        <v>168</v>
      </c>
      <c r="C1806" s="610"/>
      <c r="D1806" s="611" t="s">
        <v>218</v>
      </c>
      <c r="E1806" s="602"/>
      <c r="F1806" s="603">
        <v>500</v>
      </c>
      <c r="G1806" s="604">
        <v>0.42499999999999999</v>
      </c>
      <c r="H1806" s="605">
        <f>IF(F1806&lt;=30,(0.51*F1806+4.28)*G1806,((0.51*30+4.28)+0.42*(F1806-30))*G1806)</f>
        <v>92.216500000000011</v>
      </c>
      <c r="I1806" s="675"/>
      <c r="J1806" s="675"/>
      <c r="K1806" s="606">
        <f t="shared" si="335"/>
        <v>0</v>
      </c>
      <c r="L1806" s="607"/>
      <c r="M1806" s="614"/>
      <c r="N1806" s="614"/>
      <c r="O1806" s="287">
        <f t="shared" si="336"/>
        <v>0</v>
      </c>
      <c r="P1806" s="287">
        <f t="shared" si="337"/>
        <v>0</v>
      </c>
      <c r="Q1806" s="288"/>
      <c r="R1806" s="243"/>
      <c r="S1806" s="385" t="str">
        <f t="shared" si="353"/>
        <v/>
      </c>
    </row>
    <row r="1807" spans="2:19" ht="13.5" hidden="1" thickBot="1">
      <c r="B1807" s="609" t="s">
        <v>168</v>
      </c>
      <c r="C1807" s="610"/>
      <c r="D1807" s="611" t="s">
        <v>256</v>
      </c>
      <c r="E1807" s="602"/>
      <c r="F1807" s="603">
        <v>180</v>
      </c>
      <c r="G1807" s="604">
        <v>1.68</v>
      </c>
      <c r="H1807" s="605">
        <f>IF(F1807=0,0,IF(F1807&lt;=30,(0.7*F1807+1.45)*G1807,((0.7*30+1.45)+0.58*(F1807-30))*G1807))</f>
        <v>183.876</v>
      </c>
      <c r="I1807" s="675"/>
      <c r="J1807" s="675"/>
      <c r="K1807" s="606">
        <f t="shared" si="335"/>
        <v>0</v>
      </c>
      <c r="L1807" s="607"/>
      <c r="M1807" s="614"/>
      <c r="N1807" s="614"/>
      <c r="O1807" s="287">
        <f t="shared" si="336"/>
        <v>0</v>
      </c>
      <c r="P1807" s="287">
        <f t="shared" si="337"/>
        <v>0</v>
      </c>
      <c r="Q1807" s="288"/>
      <c r="R1807" s="315" t="str">
        <f>IF(P138&gt;0,"xy","")</f>
        <v/>
      </c>
      <c r="S1807" s="385" t="str">
        <f t="shared" si="353"/>
        <v/>
      </c>
    </row>
    <row r="1808" spans="2:19" ht="13.5" hidden="1" thickBot="1">
      <c r="B1808" s="609">
        <v>640000</v>
      </c>
      <c r="C1808" s="610" t="s">
        <v>212</v>
      </c>
      <c r="D1808" s="611" t="s">
        <v>363</v>
      </c>
      <c r="E1808" s="602"/>
      <c r="F1808" s="603"/>
      <c r="G1808" s="604"/>
      <c r="H1808" s="605">
        <f>SUM(H1809:H1810)</f>
        <v>56.294550000000001</v>
      </c>
      <c r="I1808" s="675">
        <v>85.6</v>
      </c>
      <c r="J1808" s="675">
        <f>IF(ISBLANK(I1808),"",SUM(H1808:I1808))</f>
        <v>141.89454999999998</v>
      </c>
      <c r="K1808" s="606">
        <f t="shared" si="335"/>
        <v>172.19</v>
      </c>
      <c r="L1808" s="607" t="s">
        <v>19</v>
      </c>
      <c r="M1808" s="30"/>
      <c r="N1808" s="30"/>
      <c r="O1808" s="287">
        <f t="shared" si="336"/>
        <v>0</v>
      </c>
      <c r="P1808" s="287">
        <f t="shared" si="337"/>
        <v>0</v>
      </c>
      <c r="Q1808" s="288"/>
      <c r="R1808" s="315" t="str">
        <f>IF(P138&gt;0,"xy","")</f>
        <v/>
      </c>
      <c r="S1808" s="385" t="str">
        <f t="shared" si="353"/>
        <v/>
      </c>
    </row>
    <row r="1809" spans="2:19" ht="13.5" hidden="1" thickBot="1">
      <c r="B1809" s="609" t="s">
        <v>168</v>
      </c>
      <c r="C1809" s="610"/>
      <c r="D1809" s="611" t="s">
        <v>256</v>
      </c>
      <c r="E1809" s="602"/>
      <c r="F1809" s="603">
        <v>180</v>
      </c>
      <c r="G1809" s="604">
        <v>0.50700000000000001</v>
      </c>
      <c r="H1809" s="605">
        <f>IF(F1809=0,0,IF(F1809&lt;=30,(0.7*F1809+1.45)*G1809,((0.7*30+1.45)+0.58*(F1809-30))*G1809))</f>
        <v>55.491150000000005</v>
      </c>
      <c r="I1809" s="675"/>
      <c r="J1809" s="675"/>
      <c r="K1809" s="606">
        <f t="shared" si="335"/>
        <v>0</v>
      </c>
      <c r="L1809" s="607"/>
      <c r="M1809" s="614"/>
      <c r="N1809" s="614"/>
      <c r="O1809" s="287">
        <f t="shared" si="336"/>
        <v>0</v>
      </c>
      <c r="P1809" s="287">
        <f t="shared" si="337"/>
        <v>0</v>
      </c>
      <c r="Q1809" s="288"/>
      <c r="R1809" s="315" t="str">
        <f>IF(P138&gt;0,"xy","")</f>
        <v/>
      </c>
      <c r="S1809" s="385" t="str">
        <f t="shared" si="353"/>
        <v/>
      </c>
    </row>
    <row r="1810" spans="2:19" ht="13.5" hidden="1" thickBot="1">
      <c r="B1810" s="609" t="s">
        <v>168</v>
      </c>
      <c r="C1810" s="610"/>
      <c r="D1810" s="611" t="s">
        <v>364</v>
      </c>
      <c r="E1810" s="602"/>
      <c r="F1810" s="603">
        <v>20</v>
      </c>
      <c r="G1810" s="604">
        <v>5.1999999999999998E-2</v>
      </c>
      <c r="H1810" s="605">
        <f>IF(F1810=0,0,IF(F1810&lt;=30,(0.7*F1810+1.45)*G1810,((0.7*30+1.45)+0.58*(F1810-30))*G1810))</f>
        <v>0.80339999999999989</v>
      </c>
      <c r="I1810" s="675"/>
      <c r="J1810" s="675"/>
      <c r="K1810" s="606">
        <f t="shared" ref="K1810:K2051" si="355">IF(ISBLANK(I1810),0,ROUND(J1810*(1+$F$10)*(1+$F$11*E1810),2))</f>
        <v>0</v>
      </c>
      <c r="L1810" s="607"/>
      <c r="M1810" s="614"/>
      <c r="N1810" s="614"/>
      <c r="O1810" s="287">
        <f t="shared" si="336"/>
        <v>0</v>
      </c>
      <c r="P1810" s="287">
        <f t="shared" si="337"/>
        <v>0</v>
      </c>
      <c r="Q1810" s="288"/>
      <c r="R1810" s="243"/>
      <c r="S1810" s="385" t="str">
        <f t="shared" si="353"/>
        <v/>
      </c>
    </row>
    <row r="1811" spans="2:19" ht="13.5" hidden="1" thickBot="1">
      <c r="B1811" s="609" t="s">
        <v>2005</v>
      </c>
      <c r="C1811" s="610" t="s">
        <v>212</v>
      </c>
      <c r="D1811" s="611" t="s">
        <v>365</v>
      </c>
      <c r="E1811" s="602"/>
      <c r="F1811" s="603"/>
      <c r="G1811" s="604"/>
      <c r="H1811" s="605">
        <f>SUM(H1812:H1814)</f>
        <v>172.22290000000001</v>
      </c>
      <c r="I1811" s="675">
        <v>340.38</v>
      </c>
      <c r="J1811" s="675">
        <f>IF(ISBLANK(I1811),"",SUM(H1811:I1811))</f>
        <v>512.60289999999998</v>
      </c>
      <c r="K1811" s="606">
        <f t="shared" si="355"/>
        <v>622.04</v>
      </c>
      <c r="L1811" s="607" t="s">
        <v>16</v>
      </c>
      <c r="M1811" s="30"/>
      <c r="N1811" s="30"/>
      <c r="O1811" s="287">
        <f t="shared" si="336"/>
        <v>0</v>
      </c>
      <c r="P1811" s="287">
        <f t="shared" si="337"/>
        <v>0</v>
      </c>
      <c r="Q1811" s="288"/>
      <c r="R1811" s="315" t="str">
        <f>IF(P138&gt;0,"xy","")</f>
        <v/>
      </c>
      <c r="S1811" s="385" t="str">
        <f t="shared" si="353"/>
        <v/>
      </c>
    </row>
    <row r="1812" spans="2:19" ht="13.5" hidden="1" thickBot="1">
      <c r="B1812" s="609" t="s">
        <v>168</v>
      </c>
      <c r="C1812" s="610"/>
      <c r="D1812" s="611" t="s">
        <v>218</v>
      </c>
      <c r="E1812" s="602"/>
      <c r="F1812" s="603">
        <v>500</v>
      </c>
      <c r="G1812" s="604">
        <v>0.18</v>
      </c>
      <c r="H1812" s="605">
        <f>IF(F1812&lt;=30,(0.51*F1812+4.28)*G1812,((0.51*30+4.28)+0.42*(F1812-30))*G1812)</f>
        <v>39.056400000000004</v>
      </c>
      <c r="I1812" s="675"/>
      <c r="J1812" s="675"/>
      <c r="K1812" s="606">
        <f t="shared" si="355"/>
        <v>0</v>
      </c>
      <c r="L1812" s="607"/>
      <c r="M1812" s="614"/>
      <c r="N1812" s="614"/>
      <c r="O1812" s="287">
        <f t="shared" si="336"/>
        <v>0</v>
      </c>
      <c r="P1812" s="287">
        <f t="shared" si="337"/>
        <v>0</v>
      </c>
      <c r="Q1812" s="288"/>
      <c r="R1812" s="315" t="str">
        <f>IF(P138&gt;0,"xy","")</f>
        <v/>
      </c>
      <c r="S1812" s="385" t="str">
        <f t="shared" si="353"/>
        <v/>
      </c>
    </row>
    <row r="1813" spans="2:19" ht="13.5" hidden="1" thickBot="1">
      <c r="B1813" s="609" t="s">
        <v>168</v>
      </c>
      <c r="C1813" s="610"/>
      <c r="D1813" s="611" t="s">
        <v>256</v>
      </c>
      <c r="E1813" s="602"/>
      <c r="F1813" s="603">
        <v>180</v>
      </c>
      <c r="G1813" s="604">
        <v>1.06</v>
      </c>
      <c r="H1813" s="605">
        <f>IF(F1813=0,0,IF(F1813&lt;=30,(0.7*F1813+1.45)*G1813,((0.7*30+1.45)+0.58*(F1813-30))*G1813))</f>
        <v>116.01700000000001</v>
      </c>
      <c r="I1813" s="675"/>
      <c r="J1813" s="675"/>
      <c r="K1813" s="606">
        <f t="shared" si="355"/>
        <v>0</v>
      </c>
      <c r="L1813" s="607"/>
      <c r="M1813" s="614"/>
      <c r="N1813" s="614"/>
      <c r="O1813" s="287">
        <f t="shared" si="336"/>
        <v>0</v>
      </c>
      <c r="P1813" s="287">
        <f t="shared" si="337"/>
        <v>0</v>
      </c>
      <c r="Q1813" s="288"/>
      <c r="R1813" s="315" t="str">
        <f>IF(P138&gt;0,"xy","")</f>
        <v/>
      </c>
      <c r="S1813" s="385" t="str">
        <f t="shared" si="353"/>
        <v/>
      </c>
    </row>
    <row r="1814" spans="2:19" ht="13.5" hidden="1" thickBot="1">
      <c r="B1814" s="609" t="s">
        <v>168</v>
      </c>
      <c r="C1814" s="610"/>
      <c r="D1814" s="611" t="s">
        <v>260</v>
      </c>
      <c r="E1814" s="602"/>
      <c r="F1814" s="603">
        <v>20</v>
      </c>
      <c r="G1814" s="604">
        <v>1.1100000000000001</v>
      </c>
      <c r="H1814" s="605">
        <f>IF(F1814=0,0,IF(F1814&lt;=30,(0.7*F1814+1.45)*G1814,((0.7*30+1.45)+0.58*(F1814-30))*G1814))</f>
        <v>17.1495</v>
      </c>
      <c r="I1814" s="675"/>
      <c r="J1814" s="675"/>
      <c r="K1814" s="606">
        <f t="shared" si="355"/>
        <v>0</v>
      </c>
      <c r="L1814" s="607"/>
      <c r="M1814" s="614"/>
      <c r="N1814" s="614"/>
      <c r="O1814" s="287">
        <f t="shared" si="336"/>
        <v>0</v>
      </c>
      <c r="P1814" s="287">
        <f t="shared" si="337"/>
        <v>0</v>
      </c>
      <c r="Q1814" s="288"/>
      <c r="R1814" s="243"/>
      <c r="S1814" s="385" t="str">
        <f t="shared" si="353"/>
        <v/>
      </c>
    </row>
    <row r="1815" spans="2:19" ht="13.5" hidden="1" thickBot="1">
      <c r="B1815" s="609" t="s">
        <v>2018</v>
      </c>
      <c r="C1815" s="610" t="s">
        <v>212</v>
      </c>
      <c r="D1815" s="611" t="s">
        <v>802</v>
      </c>
      <c r="E1815" s="602"/>
      <c r="F1815" s="603"/>
      <c r="G1815" s="604"/>
      <c r="H1815" s="605">
        <f>SUM(H1816:H1818)</f>
        <v>133.51677000000004</v>
      </c>
      <c r="I1815" s="675">
        <v>306.45</v>
      </c>
      <c r="J1815" s="675">
        <f>IF(ISBLANK(I1815),"",SUM(H1815:I1815))</f>
        <v>439.96677</v>
      </c>
      <c r="K1815" s="606">
        <f t="shared" si="355"/>
        <v>533.9</v>
      </c>
      <c r="L1815" s="607" t="s">
        <v>16</v>
      </c>
      <c r="M1815" s="30"/>
      <c r="N1815" s="30"/>
      <c r="O1815" s="287">
        <f t="shared" si="336"/>
        <v>0</v>
      </c>
      <c r="P1815" s="287">
        <f t="shared" si="337"/>
        <v>0</v>
      </c>
      <c r="Q1815" s="288"/>
      <c r="R1815" s="315" t="str">
        <f>IF(P138&gt;0,"xy","")</f>
        <v/>
      </c>
      <c r="S1815" s="385" t="str">
        <f t="shared" si="353"/>
        <v/>
      </c>
    </row>
    <row r="1816" spans="2:19" ht="13.5" hidden="1" thickBot="1">
      <c r="B1816" s="609" t="s">
        <v>168</v>
      </c>
      <c r="C1816" s="610"/>
      <c r="D1816" s="611" t="s">
        <v>218</v>
      </c>
      <c r="E1816" s="602"/>
      <c r="F1816" s="603">
        <v>500</v>
      </c>
      <c r="G1816" s="604">
        <v>0.189</v>
      </c>
      <c r="H1816" s="605">
        <f>IF(F1816&lt;=30,(0.51*F1816+4.28)*G1816,((0.51*30+4.28)+0.42*(F1816-30))*G1816)</f>
        <v>41.009220000000006</v>
      </c>
      <c r="I1816" s="675"/>
      <c r="J1816" s="675"/>
      <c r="K1816" s="606">
        <f t="shared" si="355"/>
        <v>0</v>
      </c>
      <c r="L1816" s="607"/>
      <c r="M1816" s="614"/>
      <c r="N1816" s="614"/>
      <c r="O1816" s="287">
        <f t="shared" si="336"/>
        <v>0</v>
      </c>
      <c r="P1816" s="287">
        <f t="shared" si="337"/>
        <v>0</v>
      </c>
      <c r="Q1816" s="288"/>
      <c r="R1816" s="315" t="str">
        <f>IF(P138&gt;0,"xy","")</f>
        <v/>
      </c>
      <c r="S1816" s="385" t="str">
        <f t="shared" si="353"/>
        <v/>
      </c>
    </row>
    <row r="1817" spans="2:19" ht="13.5" hidden="1" thickBot="1">
      <c r="B1817" s="609" t="s">
        <v>168</v>
      </c>
      <c r="C1817" s="610"/>
      <c r="D1817" s="611" t="s">
        <v>256</v>
      </c>
      <c r="E1817" s="602"/>
      <c r="F1817" s="603">
        <v>180</v>
      </c>
      <c r="G1817" s="604">
        <v>0.67200000000000004</v>
      </c>
      <c r="H1817" s="605">
        <f>IF(F1817=0,0,IF(F1817&lt;=30,(0.7*F1817+1.45)*G1817,((0.7*30+1.45)+0.58*(F1817-30))*G1817))</f>
        <v>73.55040000000001</v>
      </c>
      <c r="I1817" s="675"/>
      <c r="J1817" s="675"/>
      <c r="K1817" s="606">
        <f t="shared" si="355"/>
        <v>0</v>
      </c>
      <c r="L1817" s="607"/>
      <c r="M1817" s="614"/>
      <c r="N1817" s="614"/>
      <c r="O1817" s="287">
        <f t="shared" si="336"/>
        <v>0</v>
      </c>
      <c r="P1817" s="287">
        <f t="shared" si="337"/>
        <v>0</v>
      </c>
      <c r="Q1817" s="288"/>
      <c r="R1817" s="315" t="str">
        <f>IF(P138&gt;0,"xy","")</f>
        <v/>
      </c>
      <c r="S1817" s="385" t="str">
        <f t="shared" si="353"/>
        <v/>
      </c>
    </row>
    <row r="1818" spans="2:19" ht="13.5" hidden="1" thickBot="1">
      <c r="B1818" s="609" t="s">
        <v>168</v>
      </c>
      <c r="C1818" s="610"/>
      <c r="D1818" s="611" t="s">
        <v>367</v>
      </c>
      <c r="E1818" s="602"/>
      <c r="F1818" s="603">
        <v>20</v>
      </c>
      <c r="G1818" s="604">
        <v>1.2270000000000001</v>
      </c>
      <c r="H1818" s="605">
        <f>IF(F1818=0,0,IF(F1818&lt;=30,(0.7*F1818+1.45)*G1818,((0.7*30+1.45)+0.58*(F1818-30))*G1818))</f>
        <v>18.957150000000002</v>
      </c>
      <c r="I1818" s="675"/>
      <c r="J1818" s="675"/>
      <c r="K1818" s="606">
        <f t="shared" si="355"/>
        <v>0</v>
      </c>
      <c r="L1818" s="607"/>
      <c r="M1818" s="614"/>
      <c r="N1818" s="614"/>
      <c r="O1818" s="287">
        <f t="shared" si="336"/>
        <v>0</v>
      </c>
      <c r="P1818" s="287">
        <f t="shared" si="337"/>
        <v>0</v>
      </c>
      <c r="Q1818" s="288"/>
      <c r="R1818" s="315" t="str">
        <f>IF(P138&gt;0,"xy","")</f>
        <v/>
      </c>
      <c r="S1818" s="385" t="str">
        <f t="shared" si="353"/>
        <v/>
      </c>
    </row>
    <row r="1819" spans="2:19" ht="13.5" hidden="1" thickBot="1">
      <c r="B1819" s="609">
        <v>605100</v>
      </c>
      <c r="C1819" s="610" t="s">
        <v>212</v>
      </c>
      <c r="D1819" s="611" t="s">
        <v>1752</v>
      </c>
      <c r="E1819" s="602"/>
      <c r="F1819" s="603"/>
      <c r="G1819" s="604"/>
      <c r="H1819" s="605">
        <f>SUM(H1820:H1822)</f>
        <v>176.5625</v>
      </c>
      <c r="I1819" s="675">
        <v>349.51</v>
      </c>
      <c r="J1819" s="675">
        <f>IF(ISBLANK(I1819),"",SUM(H1819:I1819))</f>
        <v>526.07249999999999</v>
      </c>
      <c r="K1819" s="606">
        <f t="shared" si="355"/>
        <v>638.39</v>
      </c>
      <c r="L1819" s="607" t="s">
        <v>16</v>
      </c>
      <c r="M1819" s="30"/>
      <c r="N1819" s="30"/>
      <c r="O1819" s="287">
        <f t="shared" si="336"/>
        <v>0</v>
      </c>
      <c r="P1819" s="287">
        <f t="shared" si="337"/>
        <v>0</v>
      </c>
      <c r="Q1819" s="288"/>
      <c r="R1819" s="243"/>
      <c r="S1819" s="385" t="str">
        <f t="shared" si="353"/>
        <v/>
      </c>
    </row>
    <row r="1820" spans="2:19" ht="13.5" hidden="1" thickBot="1">
      <c r="B1820" s="609" t="s">
        <v>168</v>
      </c>
      <c r="C1820" s="610"/>
      <c r="D1820" s="611" t="s">
        <v>218</v>
      </c>
      <c r="E1820" s="602"/>
      <c r="F1820" s="603">
        <v>500</v>
      </c>
      <c r="G1820" s="604">
        <v>0.2</v>
      </c>
      <c r="H1820" s="605">
        <f>IF(F1820&lt;=30,(0.51*F1820+4.28)*G1820,((0.51*30+4.28)+0.42*(F1820-30))*G1820)</f>
        <v>43.396000000000008</v>
      </c>
      <c r="I1820" s="675"/>
      <c r="J1820" s="675"/>
      <c r="K1820" s="606">
        <f t="shared" si="355"/>
        <v>0</v>
      </c>
      <c r="L1820" s="607"/>
      <c r="M1820" s="614"/>
      <c r="N1820" s="614"/>
      <c r="O1820" s="287">
        <f t="shared" si="336"/>
        <v>0</v>
      </c>
      <c r="P1820" s="287">
        <f t="shared" si="337"/>
        <v>0</v>
      </c>
      <c r="Q1820" s="288"/>
      <c r="R1820" s="315" t="str">
        <f>IF(P138&gt;0,"xy","")</f>
        <v/>
      </c>
      <c r="S1820" s="385" t="str">
        <f t="shared" si="353"/>
        <v/>
      </c>
    </row>
    <row r="1821" spans="2:19" ht="13.5" hidden="1" thickBot="1">
      <c r="B1821" s="609" t="s">
        <v>168</v>
      </c>
      <c r="C1821" s="610"/>
      <c r="D1821" s="611" t="s">
        <v>256</v>
      </c>
      <c r="E1821" s="602"/>
      <c r="F1821" s="603">
        <v>180</v>
      </c>
      <c r="G1821" s="604">
        <v>1.06</v>
      </c>
      <c r="H1821" s="605">
        <f>IF(F1821=0,0,IF(F1821&lt;=30,(0.7*F1821+1.45)*G1821,((0.7*30+1.45)+0.58*(F1821-30))*G1821))</f>
        <v>116.01700000000001</v>
      </c>
      <c r="I1821" s="675"/>
      <c r="J1821" s="675"/>
      <c r="K1821" s="606">
        <f t="shared" si="355"/>
        <v>0</v>
      </c>
      <c r="L1821" s="607"/>
      <c r="M1821" s="614"/>
      <c r="N1821" s="614"/>
      <c r="O1821" s="287">
        <f t="shared" si="336"/>
        <v>0</v>
      </c>
      <c r="P1821" s="287">
        <f t="shared" si="337"/>
        <v>0</v>
      </c>
      <c r="Q1821" s="288"/>
      <c r="R1821" s="315" t="str">
        <f>IF(P138&gt;0,"xy","")</f>
        <v/>
      </c>
      <c r="S1821" s="385" t="str">
        <f t="shared" si="353"/>
        <v/>
      </c>
    </row>
    <row r="1822" spans="2:19" ht="13.5" hidden="1" thickBot="1">
      <c r="B1822" s="609" t="s">
        <v>168</v>
      </c>
      <c r="C1822" s="610"/>
      <c r="D1822" s="611" t="s">
        <v>260</v>
      </c>
      <c r="E1822" s="602"/>
      <c r="F1822" s="603">
        <v>20</v>
      </c>
      <c r="G1822" s="604">
        <v>1.1100000000000001</v>
      </c>
      <c r="H1822" s="605">
        <f>IF(F1822=0,0,IF(F1822&lt;=30,(0.7*F1822+1.45)*G1822,((0.7*30+1.45)+0.58*(F1822-30))*G1822))</f>
        <v>17.1495</v>
      </c>
      <c r="I1822" s="675"/>
      <c r="J1822" s="675"/>
      <c r="K1822" s="606">
        <f t="shared" si="355"/>
        <v>0</v>
      </c>
      <c r="L1822" s="607"/>
      <c r="M1822" s="614"/>
      <c r="N1822" s="614"/>
      <c r="O1822" s="287">
        <f t="shared" si="336"/>
        <v>0</v>
      </c>
      <c r="P1822" s="287">
        <f t="shared" si="337"/>
        <v>0</v>
      </c>
      <c r="Q1822" s="288"/>
      <c r="R1822" s="315" t="str">
        <f>IF(P138&gt;0,"xy","")</f>
        <v/>
      </c>
      <c r="S1822" s="385" t="str">
        <f t="shared" si="353"/>
        <v/>
      </c>
    </row>
    <row r="1823" spans="2:19" ht="13.5" hidden="1" thickBot="1">
      <c r="B1823" s="609" t="s">
        <v>2020</v>
      </c>
      <c r="C1823" s="610" t="s">
        <v>212</v>
      </c>
      <c r="D1823" s="611" t="s">
        <v>368</v>
      </c>
      <c r="E1823" s="602"/>
      <c r="F1823" s="603"/>
      <c r="G1823" s="604"/>
      <c r="H1823" s="605">
        <f>SUM(H1824:H1826)</f>
        <v>180.80610000000001</v>
      </c>
      <c r="I1823" s="675">
        <v>378.52</v>
      </c>
      <c r="J1823" s="675">
        <f>IF(ISBLANK(I1823),"",SUM(H1823:I1823))</f>
        <v>559.3261</v>
      </c>
      <c r="K1823" s="606">
        <f t="shared" si="355"/>
        <v>678.74</v>
      </c>
      <c r="L1823" s="607" t="s">
        <v>16</v>
      </c>
      <c r="M1823" s="30"/>
      <c r="N1823" s="30"/>
      <c r="O1823" s="287">
        <f t="shared" si="336"/>
        <v>0</v>
      </c>
      <c r="P1823" s="287">
        <f t="shared" si="337"/>
        <v>0</v>
      </c>
      <c r="Q1823" s="288"/>
      <c r="R1823" s="243"/>
      <c r="S1823" s="385" t="str">
        <f t="shared" si="353"/>
        <v/>
      </c>
    </row>
    <row r="1824" spans="2:19" ht="13.5" hidden="1" thickBot="1">
      <c r="B1824" s="609" t="s">
        <v>168</v>
      </c>
      <c r="C1824" s="610"/>
      <c r="D1824" s="611" t="s">
        <v>218</v>
      </c>
      <c r="E1824" s="602"/>
      <c r="F1824" s="603">
        <v>500</v>
      </c>
      <c r="G1824" s="604">
        <v>0.27</v>
      </c>
      <c r="H1824" s="605">
        <f>IF(F1824&lt;=30,(0.51*F1824+4.28)*G1824,((0.51*30+4.28)+0.42*(F1824-30))*G1824)</f>
        <v>58.584600000000009</v>
      </c>
      <c r="I1824" s="675"/>
      <c r="J1824" s="675"/>
      <c r="K1824" s="606">
        <f t="shared" si="355"/>
        <v>0</v>
      </c>
      <c r="L1824" s="607"/>
      <c r="M1824" s="614"/>
      <c r="N1824" s="614"/>
      <c r="O1824" s="287">
        <f t="shared" si="336"/>
        <v>0</v>
      </c>
      <c r="P1824" s="287">
        <f t="shared" si="337"/>
        <v>0</v>
      </c>
      <c r="Q1824" s="288"/>
      <c r="R1824" s="315" t="str">
        <f>IF(P138&gt;0,"xy","")</f>
        <v/>
      </c>
      <c r="S1824" s="385" t="str">
        <f t="shared" si="353"/>
        <v/>
      </c>
    </row>
    <row r="1825" spans="2:19" ht="13.5" hidden="1" thickBot="1">
      <c r="B1825" s="609" t="s">
        <v>168</v>
      </c>
      <c r="C1825" s="610"/>
      <c r="D1825" s="611" t="s">
        <v>256</v>
      </c>
      <c r="E1825" s="602"/>
      <c r="F1825" s="603">
        <v>180</v>
      </c>
      <c r="G1825" s="604">
        <v>0.96</v>
      </c>
      <c r="H1825" s="605">
        <f>IF(F1825=0,0,IF(F1825&lt;=30,(0.7*F1825+1.45)*G1825,((0.7*30+1.45)+0.58*(F1825-30))*G1825))</f>
        <v>105.072</v>
      </c>
      <c r="I1825" s="675"/>
      <c r="J1825" s="675"/>
      <c r="K1825" s="606">
        <f t="shared" si="355"/>
        <v>0</v>
      </c>
      <c r="L1825" s="607"/>
      <c r="M1825" s="614"/>
      <c r="N1825" s="614"/>
      <c r="O1825" s="287">
        <f t="shared" si="336"/>
        <v>0</v>
      </c>
      <c r="P1825" s="287">
        <f t="shared" si="337"/>
        <v>0</v>
      </c>
      <c r="Q1825" s="288"/>
      <c r="R1825" s="315" t="str">
        <f>IF(P138&gt;0,"xy","")</f>
        <v/>
      </c>
      <c r="S1825" s="385" t="str">
        <f t="shared" si="353"/>
        <v/>
      </c>
    </row>
    <row r="1826" spans="2:19" ht="13.5" hidden="1" thickBot="1">
      <c r="B1826" s="609" t="s">
        <v>168</v>
      </c>
      <c r="C1826" s="610"/>
      <c r="D1826" s="611" t="s">
        <v>260</v>
      </c>
      <c r="E1826" s="602"/>
      <c r="F1826" s="603">
        <v>20</v>
      </c>
      <c r="G1826" s="604">
        <v>1.1100000000000001</v>
      </c>
      <c r="H1826" s="605">
        <f>IF(F1826=0,0,IF(F1826&lt;=30,(0.7*F1826+1.45)*G1826,((0.7*30+1.45)+0.58*(F1826-30))*G1826))</f>
        <v>17.1495</v>
      </c>
      <c r="I1826" s="675"/>
      <c r="J1826" s="675"/>
      <c r="K1826" s="606">
        <f t="shared" si="355"/>
        <v>0</v>
      </c>
      <c r="L1826" s="607"/>
      <c r="M1826" s="614"/>
      <c r="N1826" s="614"/>
      <c r="O1826" s="287">
        <f t="shared" si="336"/>
        <v>0</v>
      </c>
      <c r="P1826" s="287">
        <f t="shared" si="337"/>
        <v>0</v>
      </c>
      <c r="Q1826" s="288"/>
      <c r="R1826" s="315" t="str">
        <f>IF(P138&gt;0,"xy","")</f>
        <v/>
      </c>
      <c r="S1826" s="385" t="str">
        <f t="shared" si="353"/>
        <v/>
      </c>
    </row>
    <row r="1827" spans="2:19" ht="13.5" hidden="1" thickBot="1">
      <c r="B1827" s="609">
        <v>605300</v>
      </c>
      <c r="C1827" s="610" t="s">
        <v>212</v>
      </c>
      <c r="D1827" s="611" t="s">
        <v>369</v>
      </c>
      <c r="E1827" s="602"/>
      <c r="F1827" s="603"/>
      <c r="G1827" s="604"/>
      <c r="H1827" s="605">
        <f>SUM(H1828:H1830)</f>
        <v>189.55635000000001</v>
      </c>
      <c r="I1827" s="675">
        <v>404.81</v>
      </c>
      <c r="J1827" s="675">
        <f>IF(ISBLANK(I1827),"",SUM(H1827:I1827))</f>
        <v>594.36635000000001</v>
      </c>
      <c r="K1827" s="606">
        <f t="shared" si="355"/>
        <v>721.26</v>
      </c>
      <c r="L1827" s="607" t="s">
        <v>16</v>
      </c>
      <c r="M1827" s="30"/>
      <c r="N1827" s="30"/>
      <c r="O1827" s="287">
        <f t="shared" si="336"/>
        <v>0</v>
      </c>
      <c r="P1827" s="287">
        <f t="shared" si="337"/>
        <v>0</v>
      </c>
      <c r="Q1827" s="288"/>
      <c r="R1827" s="243"/>
      <c r="S1827" s="385" t="str">
        <f t="shared" si="353"/>
        <v/>
      </c>
    </row>
    <row r="1828" spans="2:19" ht="13.5" hidden="1" thickBot="1">
      <c r="B1828" s="609" t="s">
        <v>168</v>
      </c>
      <c r="C1828" s="610"/>
      <c r="D1828" s="611" t="s">
        <v>218</v>
      </c>
      <c r="E1828" s="602"/>
      <c r="F1828" s="603">
        <v>500</v>
      </c>
      <c r="G1828" s="604">
        <v>0.33</v>
      </c>
      <c r="H1828" s="605">
        <f>IF(F1828&lt;=30,(0.51*F1828+4.28)*G1828,((0.51*30+4.28)+0.42*(F1828-30))*G1828)</f>
        <v>71.603400000000008</v>
      </c>
      <c r="I1828" s="675"/>
      <c r="J1828" s="675"/>
      <c r="K1828" s="606">
        <f t="shared" si="355"/>
        <v>0</v>
      </c>
      <c r="L1828" s="607"/>
      <c r="M1828" s="614"/>
      <c r="N1828" s="614"/>
      <c r="O1828" s="287">
        <f t="shared" si="336"/>
        <v>0</v>
      </c>
      <c r="P1828" s="287">
        <f t="shared" si="337"/>
        <v>0</v>
      </c>
      <c r="Q1828" s="288"/>
      <c r="R1828" s="315" t="str">
        <f>IF(P138&gt;0,"xy","")</f>
        <v/>
      </c>
      <c r="S1828" s="385" t="str">
        <f t="shared" si="353"/>
        <v/>
      </c>
    </row>
    <row r="1829" spans="2:19" ht="13.5" hidden="1" thickBot="1">
      <c r="B1829" s="609" t="s">
        <v>168</v>
      </c>
      <c r="C1829" s="610"/>
      <c r="D1829" s="611" t="s">
        <v>256</v>
      </c>
      <c r="E1829" s="602"/>
      <c r="F1829" s="603">
        <v>180</v>
      </c>
      <c r="G1829" s="604">
        <v>0.92100000000000004</v>
      </c>
      <c r="H1829" s="605">
        <f>IF(F1829=0,0,IF(F1829&lt;=30,(0.7*F1829+1.45)*G1829,((0.7*30+1.45)+0.58*(F1829-30))*G1829))</f>
        <v>100.80345000000001</v>
      </c>
      <c r="I1829" s="675"/>
      <c r="J1829" s="675"/>
      <c r="K1829" s="606">
        <f t="shared" si="355"/>
        <v>0</v>
      </c>
      <c r="L1829" s="607"/>
      <c r="M1829" s="614"/>
      <c r="N1829" s="614"/>
      <c r="O1829" s="287">
        <f t="shared" si="336"/>
        <v>0</v>
      </c>
      <c r="P1829" s="287">
        <f t="shared" si="337"/>
        <v>0</v>
      </c>
      <c r="Q1829" s="288"/>
      <c r="R1829" s="315" t="str">
        <f>IF(P138&gt;0,"xy","")</f>
        <v/>
      </c>
      <c r="S1829" s="385" t="str">
        <f t="shared" si="353"/>
        <v/>
      </c>
    </row>
    <row r="1830" spans="2:19" ht="13.5" hidden="1" thickBot="1">
      <c r="B1830" s="609" t="s">
        <v>168</v>
      </c>
      <c r="C1830" s="610"/>
      <c r="D1830" s="611" t="s">
        <v>260</v>
      </c>
      <c r="E1830" s="602"/>
      <c r="F1830" s="603">
        <v>20</v>
      </c>
      <c r="G1830" s="604">
        <v>1.1100000000000001</v>
      </c>
      <c r="H1830" s="605">
        <f>IF(F1830=0,0,IF(F1830&lt;=30,(0.7*F1830+1.45)*G1830,((0.7*30+1.45)+0.58*(F1830-30))*G1830))</f>
        <v>17.1495</v>
      </c>
      <c r="I1830" s="675"/>
      <c r="J1830" s="675"/>
      <c r="K1830" s="606">
        <f t="shared" si="355"/>
        <v>0</v>
      </c>
      <c r="L1830" s="607"/>
      <c r="M1830" s="614"/>
      <c r="N1830" s="614"/>
      <c r="O1830" s="287">
        <f t="shared" si="336"/>
        <v>0</v>
      </c>
      <c r="P1830" s="287">
        <f t="shared" si="337"/>
        <v>0</v>
      </c>
      <c r="Q1830" s="288"/>
      <c r="R1830" s="315" t="str">
        <f>IF(P138&gt;0,"xy","")</f>
        <v/>
      </c>
      <c r="S1830" s="385" t="str">
        <f t="shared" si="353"/>
        <v/>
      </c>
    </row>
    <row r="1831" spans="2:19" ht="13.5" hidden="1" thickBot="1">
      <c r="B1831" s="609" t="s">
        <v>2022</v>
      </c>
      <c r="C1831" s="610" t="s">
        <v>212</v>
      </c>
      <c r="D1831" s="611" t="s">
        <v>370</v>
      </c>
      <c r="E1831" s="602"/>
      <c r="F1831" s="603"/>
      <c r="G1831" s="604"/>
      <c r="H1831" s="605">
        <f>SUM(H1832:H1834)</f>
        <v>203.42962</v>
      </c>
      <c r="I1831" s="675">
        <v>411.03999999999996</v>
      </c>
      <c r="J1831" s="675">
        <f>IF(ISBLANK(I1831),"",SUM(H1831:I1831))</f>
        <v>614.46961999999996</v>
      </c>
      <c r="K1831" s="606">
        <f t="shared" si="355"/>
        <v>745.66</v>
      </c>
      <c r="L1831" s="607" t="s">
        <v>16</v>
      </c>
      <c r="M1831" s="30"/>
      <c r="N1831" s="30"/>
      <c r="O1831" s="287">
        <f t="shared" si="336"/>
        <v>0</v>
      </c>
      <c r="P1831" s="287">
        <f t="shared" si="337"/>
        <v>0</v>
      </c>
      <c r="Q1831" s="288"/>
      <c r="R1831" s="243"/>
      <c r="S1831" s="385" t="str">
        <f t="shared" si="353"/>
        <v/>
      </c>
    </row>
    <row r="1832" spans="2:19" ht="13.5" hidden="1" thickBot="1">
      <c r="B1832" s="609" t="s">
        <v>168</v>
      </c>
      <c r="C1832" s="610"/>
      <c r="D1832" s="611" t="s">
        <v>218</v>
      </c>
      <c r="E1832" s="602"/>
      <c r="F1832" s="603">
        <v>500</v>
      </c>
      <c r="G1832" s="604">
        <v>0.34399999999999997</v>
      </c>
      <c r="H1832" s="605">
        <f>IF(F1832&lt;=30,(0.51*F1832+4.28)*G1832,((0.51*30+4.28)+0.42*(F1832-30))*G1832)</f>
        <v>74.641120000000001</v>
      </c>
      <c r="I1832" s="675">
        <v>0</v>
      </c>
      <c r="J1832" s="675"/>
      <c r="K1832" s="606">
        <f t="shared" si="355"/>
        <v>0</v>
      </c>
      <c r="L1832" s="607"/>
      <c r="M1832" s="614"/>
      <c r="N1832" s="614"/>
      <c r="O1832" s="287">
        <f t="shared" si="336"/>
        <v>0</v>
      </c>
      <c r="P1832" s="287">
        <f t="shared" si="337"/>
        <v>0</v>
      </c>
      <c r="Q1832" s="288"/>
      <c r="R1832" s="315" t="str">
        <f>IF(P138&gt;0,"xy","")</f>
        <v/>
      </c>
      <c r="S1832" s="385" t="str">
        <f t="shared" si="353"/>
        <v/>
      </c>
    </row>
    <row r="1833" spans="2:19" ht="13.5" hidden="1" thickBot="1">
      <c r="B1833" s="609" t="s">
        <v>168</v>
      </c>
      <c r="C1833" s="610"/>
      <c r="D1833" s="611" t="s">
        <v>256</v>
      </c>
      <c r="E1833" s="602"/>
      <c r="F1833" s="603">
        <v>180</v>
      </c>
      <c r="G1833" s="604">
        <v>1.02</v>
      </c>
      <c r="H1833" s="605">
        <f>IF(F1833=0,0,IF(F1833&lt;=30,(0.7*F1833+1.45)*G1833,((0.7*30+1.45)+0.58*(F1833-30))*G1833))</f>
        <v>111.63900000000001</v>
      </c>
      <c r="I1833" s="675">
        <v>0</v>
      </c>
      <c r="J1833" s="675"/>
      <c r="K1833" s="606">
        <f t="shared" si="355"/>
        <v>0</v>
      </c>
      <c r="L1833" s="607"/>
      <c r="M1833" s="614"/>
      <c r="N1833" s="614"/>
      <c r="O1833" s="287">
        <f t="shared" si="336"/>
        <v>0</v>
      </c>
      <c r="P1833" s="287">
        <f t="shared" si="337"/>
        <v>0</v>
      </c>
      <c r="Q1833" s="288"/>
      <c r="R1833" s="315" t="str">
        <f>IF(P138&gt;0,"xy","")</f>
        <v/>
      </c>
      <c r="S1833" s="385" t="str">
        <f t="shared" si="353"/>
        <v/>
      </c>
    </row>
    <row r="1834" spans="2:19" ht="13.5" hidden="1" thickBot="1">
      <c r="B1834" s="609" t="s">
        <v>168</v>
      </c>
      <c r="C1834" s="610"/>
      <c r="D1834" s="611" t="s">
        <v>260</v>
      </c>
      <c r="E1834" s="602"/>
      <c r="F1834" s="603">
        <v>20</v>
      </c>
      <c r="G1834" s="604">
        <v>1.1100000000000001</v>
      </c>
      <c r="H1834" s="605">
        <f>IF(F1834=0,0,IF(F1834&lt;=30,(0.7*F1834+1.45)*G1834,((0.7*30+1.45)+0.58*(F1834-30))*G1834))</f>
        <v>17.1495</v>
      </c>
      <c r="I1834" s="675">
        <v>0</v>
      </c>
      <c r="J1834" s="675"/>
      <c r="K1834" s="606">
        <f t="shared" si="355"/>
        <v>0</v>
      </c>
      <c r="L1834" s="607"/>
      <c r="M1834" s="614"/>
      <c r="N1834" s="614"/>
      <c r="O1834" s="287">
        <f t="shared" si="336"/>
        <v>0</v>
      </c>
      <c r="P1834" s="287">
        <f t="shared" si="337"/>
        <v>0</v>
      </c>
      <c r="Q1834" s="288"/>
      <c r="R1834" s="315" t="str">
        <f>IF(P138&gt;0,"xy","")</f>
        <v/>
      </c>
      <c r="S1834" s="385" t="str">
        <f t="shared" si="353"/>
        <v/>
      </c>
    </row>
    <row r="1835" spans="2:19" ht="13.5" hidden="1" thickBot="1">
      <c r="B1835" s="609">
        <v>605500</v>
      </c>
      <c r="C1835" s="610" t="s">
        <v>212</v>
      </c>
      <c r="D1835" s="611" t="s">
        <v>1753</v>
      </c>
      <c r="E1835" s="602"/>
      <c r="F1835" s="603"/>
      <c r="G1835" s="604"/>
      <c r="H1835" s="605">
        <f>SUM(H1836:H1838)</f>
        <v>196.45363</v>
      </c>
      <c r="I1835" s="675">
        <v>429.03</v>
      </c>
      <c r="J1835" s="675">
        <f>IF(ISBLANK(I1835),"",SUM(H1835:I1835))</f>
        <v>625.48362999999995</v>
      </c>
      <c r="K1835" s="606">
        <f t="shared" si="355"/>
        <v>759.02</v>
      </c>
      <c r="L1835" s="607" t="s">
        <v>16</v>
      </c>
      <c r="M1835" s="30"/>
      <c r="N1835" s="30"/>
      <c r="O1835" s="287">
        <f t="shared" si="336"/>
        <v>0</v>
      </c>
      <c r="P1835" s="287">
        <f t="shared" si="337"/>
        <v>0</v>
      </c>
      <c r="Q1835" s="288"/>
      <c r="R1835" s="243"/>
      <c r="S1835" s="385" t="str">
        <f t="shared" si="353"/>
        <v/>
      </c>
    </row>
    <row r="1836" spans="2:19" ht="13.5" hidden="1" thickBot="1">
      <c r="B1836" s="609" t="s">
        <v>168</v>
      </c>
      <c r="C1836" s="610"/>
      <c r="D1836" s="611" t="s">
        <v>218</v>
      </c>
      <c r="E1836" s="602"/>
      <c r="F1836" s="603">
        <v>500</v>
      </c>
      <c r="G1836" s="604">
        <v>0.38600000000000001</v>
      </c>
      <c r="H1836" s="605">
        <f>IF(F1836&lt;=30,(0.51*F1836+4.28)*G1836,((0.51*30+4.28)+0.42*(F1836-30))*G1836)</f>
        <v>83.754280000000008</v>
      </c>
      <c r="I1836" s="675">
        <v>0</v>
      </c>
      <c r="J1836" s="675"/>
      <c r="K1836" s="606">
        <f t="shared" si="355"/>
        <v>0</v>
      </c>
      <c r="L1836" s="607"/>
      <c r="M1836" s="614"/>
      <c r="N1836" s="614"/>
      <c r="O1836" s="287">
        <f t="shared" si="336"/>
        <v>0</v>
      </c>
      <c r="P1836" s="287">
        <f t="shared" si="337"/>
        <v>0</v>
      </c>
      <c r="Q1836" s="288"/>
      <c r="R1836" s="315" t="str">
        <f>IF(P138&gt;0,"xy","")</f>
        <v/>
      </c>
      <c r="S1836" s="385" t="str">
        <f t="shared" si="353"/>
        <v/>
      </c>
    </row>
    <row r="1837" spans="2:19" ht="13.5" hidden="1" thickBot="1">
      <c r="B1837" s="609" t="s">
        <v>168</v>
      </c>
      <c r="C1837" s="610"/>
      <c r="D1837" s="611" t="s">
        <v>256</v>
      </c>
      <c r="E1837" s="602"/>
      <c r="F1837" s="603">
        <v>180</v>
      </c>
      <c r="G1837" s="604">
        <v>0.873</v>
      </c>
      <c r="H1837" s="605">
        <f>IF(F1837=0,0,IF(F1837&lt;=30,(0.7*F1837+1.45)*G1837,((0.7*30+1.45)+0.58*(F1837-30))*G1837))</f>
        <v>95.549850000000006</v>
      </c>
      <c r="I1837" s="675">
        <v>0</v>
      </c>
      <c r="J1837" s="675"/>
      <c r="K1837" s="606">
        <f t="shared" si="355"/>
        <v>0</v>
      </c>
      <c r="L1837" s="607"/>
      <c r="M1837" s="614"/>
      <c r="N1837" s="614"/>
      <c r="O1837" s="287">
        <f t="shared" si="336"/>
        <v>0</v>
      </c>
      <c r="P1837" s="287">
        <f t="shared" si="337"/>
        <v>0</v>
      </c>
      <c r="Q1837" s="288"/>
      <c r="R1837" s="315" t="str">
        <f>IF(P138&gt;0,"xy","")</f>
        <v/>
      </c>
      <c r="S1837" s="385" t="str">
        <f t="shared" si="353"/>
        <v/>
      </c>
    </row>
    <row r="1838" spans="2:19" ht="13.5" hidden="1" thickBot="1">
      <c r="B1838" s="609" t="s">
        <v>168</v>
      </c>
      <c r="C1838" s="610"/>
      <c r="D1838" s="611" t="s">
        <v>260</v>
      </c>
      <c r="E1838" s="602"/>
      <c r="F1838" s="603">
        <v>20</v>
      </c>
      <c r="G1838" s="604">
        <v>1.1100000000000001</v>
      </c>
      <c r="H1838" s="605">
        <f>IF(F1838=0,0,IF(F1838&lt;=30,(0.7*F1838+1.45)*G1838,((0.7*30+1.45)+0.58*(F1838-30))*G1838))</f>
        <v>17.1495</v>
      </c>
      <c r="I1838" s="675">
        <v>0</v>
      </c>
      <c r="J1838" s="675"/>
      <c r="K1838" s="606">
        <f t="shared" si="355"/>
        <v>0</v>
      </c>
      <c r="L1838" s="607"/>
      <c r="M1838" s="614"/>
      <c r="N1838" s="614"/>
      <c r="O1838" s="287">
        <f t="shared" si="336"/>
        <v>0</v>
      </c>
      <c r="P1838" s="287">
        <f t="shared" si="337"/>
        <v>0</v>
      </c>
      <c r="Q1838" s="288"/>
      <c r="R1838" s="315" t="str">
        <f>IF(P138&gt;0,"xy","")</f>
        <v/>
      </c>
      <c r="S1838" s="385" t="str">
        <f t="shared" si="353"/>
        <v/>
      </c>
    </row>
    <row r="1839" spans="2:19" ht="13.5" hidden="1" thickBot="1">
      <c r="B1839" s="609">
        <v>605600</v>
      </c>
      <c r="C1839" s="610" t="s">
        <v>212</v>
      </c>
      <c r="D1839" s="611" t="s">
        <v>1754</v>
      </c>
      <c r="E1839" s="602"/>
      <c r="F1839" s="603"/>
      <c r="G1839" s="604"/>
      <c r="H1839" s="605">
        <f>SUM(H1840:H1842)</f>
        <v>198.04929999999999</v>
      </c>
      <c r="I1839" s="675">
        <v>439.06</v>
      </c>
      <c r="J1839" s="675">
        <f>IF(ISBLANK(I1839),"",SUM(H1839:I1839))</f>
        <v>637.10929999999996</v>
      </c>
      <c r="K1839" s="606">
        <f t="shared" si="355"/>
        <v>773.13</v>
      </c>
      <c r="L1839" s="607" t="s">
        <v>16</v>
      </c>
      <c r="M1839" s="30"/>
      <c r="N1839" s="30"/>
      <c r="O1839" s="287">
        <f t="shared" si="336"/>
        <v>0</v>
      </c>
      <c r="P1839" s="287">
        <f t="shared" si="337"/>
        <v>0</v>
      </c>
      <c r="Q1839" s="288"/>
      <c r="R1839" s="243"/>
      <c r="S1839" s="385" t="str">
        <f t="shared" si="353"/>
        <v/>
      </c>
    </row>
    <row r="1840" spans="2:19" ht="13.5" hidden="1" thickBot="1">
      <c r="B1840" s="609" t="s">
        <v>168</v>
      </c>
      <c r="C1840" s="610"/>
      <c r="D1840" s="611" t="s">
        <v>218</v>
      </c>
      <c r="E1840" s="602"/>
      <c r="F1840" s="603">
        <v>500</v>
      </c>
      <c r="G1840" s="604">
        <v>0.41</v>
      </c>
      <c r="H1840" s="605">
        <f>IF(F1840&lt;=30,(0.51*F1840+4.28)*G1840,((0.51*30+4.28)+0.42*(F1840-30))*G1840)</f>
        <v>88.961799999999997</v>
      </c>
      <c r="I1840" s="675">
        <v>0</v>
      </c>
      <c r="J1840" s="675"/>
      <c r="K1840" s="606">
        <f t="shared" si="355"/>
        <v>0</v>
      </c>
      <c r="L1840" s="607"/>
      <c r="M1840" s="614"/>
      <c r="N1840" s="614"/>
      <c r="O1840" s="287">
        <f t="shared" si="336"/>
        <v>0</v>
      </c>
      <c r="P1840" s="287">
        <f t="shared" si="337"/>
        <v>0</v>
      </c>
      <c r="Q1840" s="288"/>
      <c r="R1840" s="315" t="str">
        <f>IF(P138&gt;0,"xy","")</f>
        <v/>
      </c>
      <c r="S1840" s="385" t="str">
        <f t="shared" si="353"/>
        <v/>
      </c>
    </row>
    <row r="1841" spans="2:19" ht="13.5" hidden="1" thickBot="1">
      <c r="B1841" s="609" t="s">
        <v>168</v>
      </c>
      <c r="C1841" s="610"/>
      <c r="D1841" s="611" t="s">
        <v>256</v>
      </c>
      <c r="E1841" s="602"/>
      <c r="F1841" s="603">
        <v>180</v>
      </c>
      <c r="G1841" s="604">
        <v>0.84</v>
      </c>
      <c r="H1841" s="605">
        <f>IF(F1841=0,0,IF(F1841&lt;=30,(0.7*F1841+1.45)*G1841,((0.7*30+1.45)+0.58*(F1841-30))*G1841))</f>
        <v>91.938000000000002</v>
      </c>
      <c r="I1841" s="675">
        <v>0</v>
      </c>
      <c r="J1841" s="675"/>
      <c r="K1841" s="606">
        <f t="shared" si="355"/>
        <v>0</v>
      </c>
      <c r="L1841" s="607"/>
      <c r="M1841" s="614"/>
      <c r="N1841" s="614"/>
      <c r="O1841" s="287">
        <f t="shared" si="336"/>
        <v>0</v>
      </c>
      <c r="P1841" s="287">
        <f t="shared" si="337"/>
        <v>0</v>
      </c>
      <c r="Q1841" s="288"/>
      <c r="R1841" s="315" t="str">
        <f>IF(P138&gt;0,"xy","")</f>
        <v/>
      </c>
      <c r="S1841" s="385" t="str">
        <f t="shared" si="353"/>
        <v/>
      </c>
    </row>
    <row r="1842" spans="2:19" ht="13.5" hidden="1" thickBot="1">
      <c r="B1842" s="609" t="s">
        <v>168</v>
      </c>
      <c r="C1842" s="610"/>
      <c r="D1842" s="611" t="s">
        <v>260</v>
      </c>
      <c r="E1842" s="602"/>
      <c r="F1842" s="603">
        <v>20</v>
      </c>
      <c r="G1842" s="604">
        <v>1.1100000000000001</v>
      </c>
      <c r="H1842" s="605">
        <f>IF(F1842=0,0,IF(F1842&lt;=30,(0.7*F1842+1.45)*G1842,((0.7*30+1.45)+0.58*(F1842-30))*G1842))</f>
        <v>17.1495</v>
      </c>
      <c r="I1842" s="675">
        <v>0</v>
      </c>
      <c r="J1842" s="675"/>
      <c r="K1842" s="606">
        <f t="shared" si="355"/>
        <v>0</v>
      </c>
      <c r="L1842" s="607"/>
      <c r="M1842" s="614"/>
      <c r="N1842" s="614"/>
      <c r="O1842" s="287">
        <f t="shared" si="336"/>
        <v>0</v>
      </c>
      <c r="P1842" s="287">
        <f t="shared" si="337"/>
        <v>0</v>
      </c>
      <c r="Q1842" s="288"/>
      <c r="R1842" s="315" t="str">
        <f>IF(P138&gt;0,"xy","")</f>
        <v/>
      </c>
      <c r="S1842" s="385" t="str">
        <f t="shared" si="353"/>
        <v/>
      </c>
    </row>
    <row r="1843" spans="2:19" ht="13.5" hidden="1" thickBot="1">
      <c r="B1843" s="609">
        <v>605700</v>
      </c>
      <c r="C1843" s="610" t="s">
        <v>212</v>
      </c>
      <c r="D1843" s="611" t="s">
        <v>1755</v>
      </c>
      <c r="E1843" s="602"/>
      <c r="F1843" s="603"/>
      <c r="G1843" s="604"/>
      <c r="H1843" s="605">
        <f>SUM(H1844:H1846)</f>
        <v>200.74714999999998</v>
      </c>
      <c r="I1843" s="675">
        <v>447.77</v>
      </c>
      <c r="J1843" s="675">
        <f>IF(ISBLANK(I1843),"",SUM(H1843:I1843))</f>
        <v>648.5171499999999</v>
      </c>
      <c r="K1843" s="606">
        <f t="shared" si="355"/>
        <v>786.98</v>
      </c>
      <c r="L1843" s="607" t="s">
        <v>16</v>
      </c>
      <c r="M1843" s="30"/>
      <c r="N1843" s="30"/>
      <c r="O1843" s="287">
        <f t="shared" si="336"/>
        <v>0</v>
      </c>
      <c r="P1843" s="287">
        <f t="shared" si="337"/>
        <v>0</v>
      </c>
      <c r="Q1843" s="288"/>
      <c r="R1843" s="243"/>
      <c r="S1843" s="385" t="str">
        <f t="shared" si="353"/>
        <v/>
      </c>
    </row>
    <row r="1844" spans="2:19" ht="13.5" hidden="1" thickBot="1">
      <c r="B1844" s="609" t="s">
        <v>168</v>
      </c>
      <c r="C1844" s="610"/>
      <c r="D1844" s="611" t="s">
        <v>218</v>
      </c>
      <c r="E1844" s="602"/>
      <c r="F1844" s="603">
        <v>500</v>
      </c>
      <c r="G1844" s="604">
        <v>0.43</v>
      </c>
      <c r="H1844" s="605">
        <f>IF(F1844&lt;=30,(0.51*F1844+4.28)*G1844,((0.51*30+4.28)+0.42*(F1844-30))*G1844)</f>
        <v>93.301400000000001</v>
      </c>
      <c r="I1844" s="675">
        <v>0</v>
      </c>
      <c r="J1844" s="675"/>
      <c r="K1844" s="606">
        <f t="shared" si="355"/>
        <v>0</v>
      </c>
      <c r="L1844" s="607"/>
      <c r="M1844" s="614"/>
      <c r="N1844" s="614"/>
      <c r="O1844" s="287">
        <f t="shared" si="336"/>
        <v>0</v>
      </c>
      <c r="P1844" s="287">
        <f t="shared" si="337"/>
        <v>0</v>
      </c>
      <c r="Q1844" s="288"/>
      <c r="R1844" s="315" t="str">
        <f>IF(P138&gt;0,"xy","")</f>
        <v/>
      </c>
      <c r="S1844" s="385" t="str">
        <f t="shared" si="353"/>
        <v/>
      </c>
    </row>
    <row r="1845" spans="2:19" ht="13.5" hidden="1" thickBot="1">
      <c r="B1845" s="609" t="s">
        <v>168</v>
      </c>
      <c r="C1845" s="610"/>
      <c r="D1845" s="611" t="s">
        <v>256</v>
      </c>
      <c r="E1845" s="602"/>
      <c r="F1845" s="603">
        <v>180</v>
      </c>
      <c r="G1845" s="604">
        <v>0.82499999999999996</v>
      </c>
      <c r="H1845" s="605">
        <f>IF(F1845=0,0,IF(F1845&lt;=30,(0.7*F1845+1.45)*G1845,((0.7*30+1.45)+0.58*(F1845-30))*G1845))</f>
        <v>90.296250000000001</v>
      </c>
      <c r="I1845" s="675">
        <v>0</v>
      </c>
      <c r="J1845" s="675"/>
      <c r="K1845" s="606">
        <f t="shared" si="355"/>
        <v>0</v>
      </c>
      <c r="L1845" s="607"/>
      <c r="M1845" s="614"/>
      <c r="N1845" s="614"/>
      <c r="O1845" s="287">
        <f t="shared" si="336"/>
        <v>0</v>
      </c>
      <c r="P1845" s="287">
        <f t="shared" si="337"/>
        <v>0</v>
      </c>
      <c r="Q1845" s="288"/>
      <c r="R1845" s="315" t="str">
        <f>IF(P138&gt;0,"xy","")</f>
        <v/>
      </c>
      <c r="S1845" s="385" t="str">
        <f t="shared" si="353"/>
        <v/>
      </c>
    </row>
    <row r="1846" spans="2:19" ht="13.5" hidden="1" thickBot="1">
      <c r="B1846" s="609" t="s">
        <v>168</v>
      </c>
      <c r="C1846" s="610"/>
      <c r="D1846" s="611" t="s">
        <v>260</v>
      </c>
      <c r="E1846" s="602"/>
      <c r="F1846" s="603">
        <v>20</v>
      </c>
      <c r="G1846" s="604">
        <v>1.1100000000000001</v>
      </c>
      <c r="H1846" s="605">
        <f>IF(F1846=0,0,IF(F1846&lt;=30,(0.7*F1846+1.45)*G1846,((0.7*30+1.45)+0.58*(F1846-30))*G1846))</f>
        <v>17.1495</v>
      </c>
      <c r="I1846" s="675">
        <v>0</v>
      </c>
      <c r="J1846" s="675"/>
      <c r="K1846" s="606">
        <f t="shared" si="355"/>
        <v>0</v>
      </c>
      <c r="L1846" s="607"/>
      <c r="M1846" s="614"/>
      <c r="N1846" s="614"/>
      <c r="O1846" s="287">
        <f t="shared" si="336"/>
        <v>0</v>
      </c>
      <c r="P1846" s="287">
        <f t="shared" si="337"/>
        <v>0</v>
      </c>
      <c r="Q1846" s="288"/>
      <c r="R1846" s="315" t="str">
        <f>IF(P138&gt;0,"xy","")</f>
        <v/>
      </c>
      <c r="S1846" s="385" t="str">
        <f t="shared" si="353"/>
        <v/>
      </c>
    </row>
    <row r="1847" spans="2:19" ht="13.5" hidden="1" thickBot="1">
      <c r="B1847" s="609">
        <v>605800</v>
      </c>
      <c r="C1847" s="610" t="s">
        <v>212</v>
      </c>
      <c r="D1847" s="611" t="s">
        <v>1756</v>
      </c>
      <c r="E1847" s="602"/>
      <c r="F1847" s="603"/>
      <c r="G1847" s="604"/>
      <c r="H1847" s="605">
        <f>SUM(H1848:H1850)</f>
        <v>201.83204999999998</v>
      </c>
      <c r="I1847" s="675">
        <v>450.04999999999995</v>
      </c>
      <c r="J1847" s="675">
        <f>IF(ISBLANK(I1847),"",SUM(H1847:I1847))</f>
        <v>651.88204999999994</v>
      </c>
      <c r="K1847" s="606">
        <f t="shared" si="355"/>
        <v>791.06</v>
      </c>
      <c r="L1847" s="607" t="s">
        <v>16</v>
      </c>
      <c r="M1847" s="30"/>
      <c r="N1847" s="30"/>
      <c r="O1847" s="287">
        <f t="shared" si="336"/>
        <v>0</v>
      </c>
      <c r="P1847" s="287">
        <f t="shared" si="337"/>
        <v>0</v>
      </c>
      <c r="Q1847" s="288"/>
      <c r="R1847" s="243"/>
      <c r="S1847" s="385" t="str">
        <f t="shared" si="353"/>
        <v/>
      </c>
    </row>
    <row r="1848" spans="2:19" ht="13.5" hidden="1" thickBot="1">
      <c r="B1848" s="609" t="s">
        <v>168</v>
      </c>
      <c r="C1848" s="610"/>
      <c r="D1848" s="611" t="s">
        <v>218</v>
      </c>
      <c r="E1848" s="602"/>
      <c r="F1848" s="603">
        <v>500</v>
      </c>
      <c r="G1848" s="604">
        <v>0.435</v>
      </c>
      <c r="H1848" s="605">
        <f>IF(F1848&lt;=30,(0.51*F1848+4.28)*G1848,((0.51*30+4.28)+0.42*(F1848-30))*G1848)</f>
        <v>94.386300000000006</v>
      </c>
      <c r="I1848" s="675">
        <v>0</v>
      </c>
      <c r="J1848" s="675"/>
      <c r="K1848" s="606">
        <f t="shared" si="355"/>
        <v>0</v>
      </c>
      <c r="L1848" s="607"/>
      <c r="M1848" s="614"/>
      <c r="N1848" s="614"/>
      <c r="O1848" s="287">
        <f t="shared" si="336"/>
        <v>0</v>
      </c>
      <c r="P1848" s="287">
        <f t="shared" si="337"/>
        <v>0</v>
      </c>
      <c r="Q1848" s="288"/>
      <c r="R1848" s="315" t="str">
        <f>IF(P138&gt;0,"xy","")</f>
        <v/>
      </c>
      <c r="S1848" s="385" t="str">
        <f t="shared" si="353"/>
        <v/>
      </c>
    </row>
    <row r="1849" spans="2:19" ht="13.5" hidden="1" thickBot="1">
      <c r="B1849" s="609" t="s">
        <v>168</v>
      </c>
      <c r="C1849" s="610"/>
      <c r="D1849" s="611" t="s">
        <v>256</v>
      </c>
      <c r="E1849" s="602"/>
      <c r="F1849" s="603">
        <v>180</v>
      </c>
      <c r="G1849" s="604">
        <v>0.82499999999999996</v>
      </c>
      <c r="H1849" s="605">
        <f>IF(F1849=0,0,IF(F1849&lt;=30,(0.7*F1849+1.45)*G1849,((0.7*30+1.45)+0.58*(F1849-30))*G1849))</f>
        <v>90.296250000000001</v>
      </c>
      <c r="I1849" s="675">
        <v>0</v>
      </c>
      <c r="J1849" s="675"/>
      <c r="K1849" s="606">
        <f t="shared" si="355"/>
        <v>0</v>
      </c>
      <c r="L1849" s="607"/>
      <c r="M1849" s="614"/>
      <c r="N1849" s="614"/>
      <c r="O1849" s="287">
        <f t="shared" si="336"/>
        <v>0</v>
      </c>
      <c r="P1849" s="287">
        <f t="shared" si="337"/>
        <v>0</v>
      </c>
      <c r="Q1849" s="288"/>
      <c r="R1849" s="315" t="str">
        <f>IF(P138&gt;0,"xy","")</f>
        <v/>
      </c>
      <c r="S1849" s="385" t="str">
        <f t="shared" si="353"/>
        <v/>
      </c>
    </row>
    <row r="1850" spans="2:19" ht="13.5" hidden="1" thickBot="1">
      <c r="B1850" s="609" t="s">
        <v>168</v>
      </c>
      <c r="C1850" s="610"/>
      <c r="D1850" s="611" t="s">
        <v>260</v>
      </c>
      <c r="E1850" s="602"/>
      <c r="F1850" s="603">
        <v>20</v>
      </c>
      <c r="G1850" s="604">
        <v>1.1100000000000001</v>
      </c>
      <c r="H1850" s="605">
        <f>IF(F1850=0,0,IF(F1850&lt;=30,(0.7*F1850+1.45)*G1850,((0.7*30+1.45)+0.58*(F1850-30))*G1850))</f>
        <v>17.1495</v>
      </c>
      <c r="I1850" s="675">
        <v>0</v>
      </c>
      <c r="J1850" s="675"/>
      <c r="K1850" s="606">
        <f t="shared" si="355"/>
        <v>0</v>
      </c>
      <c r="L1850" s="607"/>
      <c r="M1850" s="614"/>
      <c r="N1850" s="614"/>
      <c r="O1850" s="287">
        <f t="shared" si="336"/>
        <v>0</v>
      </c>
      <c r="P1850" s="287">
        <f t="shared" si="337"/>
        <v>0</v>
      </c>
      <c r="Q1850" s="288"/>
      <c r="R1850" s="315" t="str">
        <f>IF(P138&gt;0,"xy","")</f>
        <v/>
      </c>
      <c r="S1850" s="385" t="str">
        <f t="shared" si="353"/>
        <v/>
      </c>
    </row>
    <row r="1851" spans="2:19" ht="13.5" hidden="1" thickBot="1">
      <c r="B1851" s="609">
        <v>605900</v>
      </c>
      <c r="C1851" s="610" t="s">
        <v>212</v>
      </c>
      <c r="D1851" s="611" t="s">
        <v>1757</v>
      </c>
      <c r="E1851" s="602"/>
      <c r="F1851" s="603"/>
      <c r="G1851" s="604"/>
      <c r="H1851" s="605">
        <f>SUM(H1852:H1854)</f>
        <v>206.67090000000002</v>
      </c>
      <c r="I1851" s="675">
        <v>469.33000000000004</v>
      </c>
      <c r="J1851" s="675">
        <f>IF(ISBLANK(I1851),"",SUM(H1851:I1851))</f>
        <v>676.0009</v>
      </c>
      <c r="K1851" s="606">
        <f t="shared" si="355"/>
        <v>820.33</v>
      </c>
      <c r="L1851" s="607" t="s">
        <v>16</v>
      </c>
      <c r="M1851" s="30"/>
      <c r="N1851" s="30"/>
      <c r="O1851" s="287">
        <f t="shared" si="336"/>
        <v>0</v>
      </c>
      <c r="P1851" s="287">
        <f t="shared" si="337"/>
        <v>0</v>
      </c>
      <c r="Q1851" s="288"/>
      <c r="R1851" s="243"/>
      <c r="S1851" s="385" t="str">
        <f t="shared" si="353"/>
        <v/>
      </c>
    </row>
    <row r="1852" spans="2:19" ht="13.5" hidden="1" thickBot="1">
      <c r="B1852" s="609" t="s">
        <v>168</v>
      </c>
      <c r="C1852" s="610"/>
      <c r="D1852" s="611" t="s">
        <v>218</v>
      </c>
      <c r="E1852" s="602"/>
      <c r="F1852" s="603">
        <v>500</v>
      </c>
      <c r="G1852" s="604">
        <v>0.48</v>
      </c>
      <c r="H1852" s="605">
        <f>IF(F1852&lt;=30,(0.51*F1852+4.28)*G1852,((0.51*30+4.28)+0.42*(F1852-30))*G1852)</f>
        <v>104.1504</v>
      </c>
      <c r="I1852" s="675">
        <v>0</v>
      </c>
      <c r="J1852" s="675"/>
      <c r="K1852" s="606">
        <f t="shared" si="355"/>
        <v>0</v>
      </c>
      <c r="L1852" s="607"/>
      <c r="M1852" s="614"/>
      <c r="N1852" s="614"/>
      <c r="O1852" s="287">
        <f t="shared" si="336"/>
        <v>0</v>
      </c>
      <c r="P1852" s="287">
        <f t="shared" si="337"/>
        <v>0</v>
      </c>
      <c r="Q1852" s="288"/>
      <c r="R1852" s="315" t="str">
        <f>IF(P138&gt;0,"xy","")</f>
        <v/>
      </c>
      <c r="S1852" s="385" t="str">
        <f t="shared" si="353"/>
        <v/>
      </c>
    </row>
    <row r="1853" spans="2:19" ht="13.5" hidden="1" thickBot="1">
      <c r="B1853" s="609" t="s">
        <v>168</v>
      </c>
      <c r="C1853" s="610"/>
      <c r="D1853" s="611" t="s">
        <v>256</v>
      </c>
      <c r="E1853" s="602"/>
      <c r="F1853" s="603">
        <v>180</v>
      </c>
      <c r="G1853" s="604">
        <v>0.78</v>
      </c>
      <c r="H1853" s="605">
        <f>IF(F1853=0,0,IF(F1853&lt;=30,(0.7*F1853+1.45)*G1853,((0.7*30+1.45)+0.58*(F1853-30))*G1853))</f>
        <v>85.371000000000009</v>
      </c>
      <c r="I1853" s="675">
        <v>0</v>
      </c>
      <c r="J1853" s="675"/>
      <c r="K1853" s="606">
        <f t="shared" si="355"/>
        <v>0</v>
      </c>
      <c r="L1853" s="607"/>
      <c r="M1853" s="614"/>
      <c r="N1853" s="614"/>
      <c r="O1853" s="287">
        <f t="shared" si="336"/>
        <v>0</v>
      </c>
      <c r="P1853" s="287">
        <f t="shared" si="337"/>
        <v>0</v>
      </c>
      <c r="Q1853" s="288"/>
      <c r="R1853" s="315" t="str">
        <f>IF(P138&gt;0,"xy","")</f>
        <v/>
      </c>
      <c r="S1853" s="385" t="str">
        <f t="shared" si="353"/>
        <v/>
      </c>
    </row>
    <row r="1854" spans="2:19" ht="13.5" hidden="1" thickBot="1">
      <c r="B1854" s="609" t="s">
        <v>168</v>
      </c>
      <c r="C1854" s="610"/>
      <c r="D1854" s="611" t="s">
        <v>260</v>
      </c>
      <c r="E1854" s="602"/>
      <c r="F1854" s="603">
        <v>20</v>
      </c>
      <c r="G1854" s="604">
        <v>1.1100000000000001</v>
      </c>
      <c r="H1854" s="605">
        <f>IF(F1854=0,0,IF(F1854&lt;=30,(0.7*F1854+1.45)*G1854,((0.7*30+1.45)+0.58*(F1854-30))*G1854))</f>
        <v>17.1495</v>
      </c>
      <c r="I1854" s="675">
        <v>0</v>
      </c>
      <c r="J1854" s="675"/>
      <c r="K1854" s="606">
        <f t="shared" si="355"/>
        <v>0</v>
      </c>
      <c r="L1854" s="607"/>
      <c r="M1854" s="614"/>
      <c r="N1854" s="614"/>
      <c r="O1854" s="287">
        <f t="shared" si="336"/>
        <v>0</v>
      </c>
      <c r="P1854" s="287">
        <f t="shared" si="337"/>
        <v>0</v>
      </c>
      <c r="Q1854" s="288"/>
      <c r="R1854" s="315" t="str">
        <f>IF(P138&gt;0,"xy","")</f>
        <v/>
      </c>
      <c r="S1854" s="385" t="str">
        <f t="shared" si="353"/>
        <v/>
      </c>
    </row>
    <row r="1855" spans="2:19" ht="13.5" hidden="1" thickBot="1">
      <c r="B1855" s="609">
        <v>606200</v>
      </c>
      <c r="C1855" s="610" t="s">
        <v>212</v>
      </c>
      <c r="D1855" s="611" t="s">
        <v>1758</v>
      </c>
      <c r="E1855" s="602"/>
      <c r="F1855" s="603"/>
      <c r="G1855" s="604"/>
      <c r="H1855" s="605">
        <f>SUM(H1856:H1858)</f>
        <v>210.33076</v>
      </c>
      <c r="I1855" s="675">
        <v>483.1</v>
      </c>
      <c r="J1855" s="675">
        <f>IF(ISBLANK(I1855),"",SUM(H1855:I1855))</f>
        <v>693.43075999999996</v>
      </c>
      <c r="K1855" s="606">
        <f t="shared" si="355"/>
        <v>841.48</v>
      </c>
      <c r="L1855" s="607" t="s">
        <v>16</v>
      </c>
      <c r="M1855" s="30"/>
      <c r="N1855" s="30"/>
      <c r="O1855" s="287">
        <f t="shared" si="336"/>
        <v>0</v>
      </c>
      <c r="P1855" s="287">
        <f t="shared" si="337"/>
        <v>0</v>
      </c>
      <c r="Q1855" s="288"/>
      <c r="R1855" s="243"/>
      <c r="S1855" s="385" t="str">
        <f t="shared" si="353"/>
        <v/>
      </c>
    </row>
    <row r="1856" spans="2:19" ht="13.5" hidden="1" thickBot="1">
      <c r="B1856" s="609" t="s">
        <v>168</v>
      </c>
      <c r="C1856" s="610"/>
      <c r="D1856" s="611" t="s">
        <v>218</v>
      </c>
      <c r="E1856" s="602"/>
      <c r="F1856" s="603">
        <v>500</v>
      </c>
      <c r="G1856" s="604">
        <v>0.51200000000000001</v>
      </c>
      <c r="H1856" s="605">
        <f>IF(F1856&lt;=30,(0.51*F1856+4.28)*G1856,((0.51*30+4.28)+0.42*(F1856-30))*G1856)</f>
        <v>111.09376000000002</v>
      </c>
      <c r="I1856" s="675">
        <v>0</v>
      </c>
      <c r="J1856" s="675"/>
      <c r="K1856" s="606">
        <f t="shared" si="355"/>
        <v>0</v>
      </c>
      <c r="L1856" s="607"/>
      <c r="M1856" s="614"/>
      <c r="N1856" s="614"/>
      <c r="O1856" s="287">
        <f t="shared" si="336"/>
        <v>0</v>
      </c>
      <c r="P1856" s="287">
        <f t="shared" si="337"/>
        <v>0</v>
      </c>
      <c r="Q1856" s="288"/>
      <c r="R1856" s="315" t="str">
        <f>IF(P138&gt;0,"xy","")</f>
        <v/>
      </c>
      <c r="S1856" s="385" t="str">
        <f t="shared" si="353"/>
        <v/>
      </c>
    </row>
    <row r="1857" spans="2:19" ht="13.5" hidden="1" thickBot="1">
      <c r="B1857" s="609" t="s">
        <v>168</v>
      </c>
      <c r="C1857" s="610"/>
      <c r="D1857" s="611" t="s">
        <v>256</v>
      </c>
      <c r="E1857" s="602"/>
      <c r="F1857" s="603">
        <v>180</v>
      </c>
      <c r="G1857" s="604">
        <v>0.75</v>
      </c>
      <c r="H1857" s="605">
        <f>IF(F1857=0,0,IF(F1857&lt;=30,(0.7*F1857+1.45)*G1857,((0.7*30+1.45)+0.58*(F1857-30))*G1857))</f>
        <v>82.087500000000006</v>
      </c>
      <c r="I1857" s="675">
        <v>0</v>
      </c>
      <c r="J1857" s="675"/>
      <c r="K1857" s="606">
        <f t="shared" si="355"/>
        <v>0</v>
      </c>
      <c r="L1857" s="607"/>
      <c r="M1857" s="614"/>
      <c r="N1857" s="614"/>
      <c r="O1857" s="287">
        <f t="shared" si="336"/>
        <v>0</v>
      </c>
      <c r="P1857" s="287">
        <f t="shared" si="337"/>
        <v>0</v>
      </c>
      <c r="Q1857" s="288"/>
      <c r="R1857" s="315" t="str">
        <f>IF(P138&gt;0,"xy","")</f>
        <v/>
      </c>
      <c r="S1857" s="385" t="str">
        <f t="shared" si="353"/>
        <v/>
      </c>
    </row>
    <row r="1858" spans="2:19" ht="13.5" hidden="1" thickBot="1">
      <c r="B1858" s="609" t="s">
        <v>168</v>
      </c>
      <c r="C1858" s="610"/>
      <c r="D1858" s="611" t="s">
        <v>260</v>
      </c>
      <c r="E1858" s="602"/>
      <c r="F1858" s="603">
        <v>20</v>
      </c>
      <c r="G1858" s="604">
        <v>1.1100000000000001</v>
      </c>
      <c r="H1858" s="605">
        <f>IF(F1858=0,0,IF(F1858&lt;=30,(0.7*F1858+1.45)*G1858,((0.7*30+1.45)+0.58*(F1858-30))*G1858))</f>
        <v>17.1495</v>
      </c>
      <c r="I1858" s="675">
        <v>0</v>
      </c>
      <c r="J1858" s="675"/>
      <c r="K1858" s="606">
        <f t="shared" si="355"/>
        <v>0</v>
      </c>
      <c r="L1858" s="607"/>
      <c r="M1858" s="614"/>
      <c r="N1858" s="614"/>
      <c r="O1858" s="287">
        <f t="shared" si="336"/>
        <v>0</v>
      </c>
      <c r="P1858" s="287">
        <f t="shared" si="337"/>
        <v>0</v>
      </c>
      <c r="Q1858" s="288"/>
      <c r="R1858" s="315" t="str">
        <f>IF(P138&gt;0,"xy","")</f>
        <v/>
      </c>
      <c r="S1858" s="385" t="str">
        <f t="shared" si="353"/>
        <v/>
      </c>
    </row>
    <row r="1859" spans="2:19" ht="13.5" hidden="1" thickBot="1">
      <c r="B1859" s="609">
        <v>622000</v>
      </c>
      <c r="C1859" s="610" t="s">
        <v>212</v>
      </c>
      <c r="D1859" s="611" t="s">
        <v>792</v>
      </c>
      <c r="E1859" s="602"/>
      <c r="F1859" s="603"/>
      <c r="G1859" s="604"/>
      <c r="H1859" s="605">
        <f>SUM(H1860:H1863)</f>
        <v>29.314002000000002</v>
      </c>
      <c r="I1859" s="675">
        <v>289.69</v>
      </c>
      <c r="J1859" s="675">
        <f>IF(ISBLANK(I1859),"",SUM(H1859:I1859))</f>
        <v>319.00400200000001</v>
      </c>
      <c r="K1859" s="606">
        <f t="shared" si="355"/>
        <v>387.11</v>
      </c>
      <c r="L1859" s="607" t="s">
        <v>21</v>
      </c>
      <c r="M1859" s="30"/>
      <c r="N1859" s="30"/>
      <c r="O1859" s="287">
        <f t="shared" si="336"/>
        <v>0</v>
      </c>
      <c r="P1859" s="287">
        <f t="shared" si="337"/>
        <v>0</v>
      </c>
      <c r="Q1859" s="288"/>
      <c r="R1859" s="243"/>
      <c r="S1859" s="385" t="str">
        <f t="shared" si="353"/>
        <v/>
      </c>
    </row>
    <row r="1860" spans="2:19" ht="13.5" hidden="1" thickBot="1">
      <c r="B1860" s="609" t="s">
        <v>168</v>
      </c>
      <c r="C1860" s="610"/>
      <c r="D1860" s="611" t="s">
        <v>218</v>
      </c>
      <c r="E1860" s="602"/>
      <c r="F1860" s="603">
        <v>500</v>
      </c>
      <c r="G1860" s="604">
        <v>4.24E-2</v>
      </c>
      <c r="H1860" s="605">
        <f>IF(F1860&lt;=30,(0.51*F1860+4.28)*G1860,((0.51*30+4.28)+0.42*(F1860-30))*G1860)</f>
        <v>9.1999520000000015</v>
      </c>
      <c r="I1860" s="675">
        <v>0</v>
      </c>
      <c r="J1860" s="675"/>
      <c r="K1860" s="606">
        <f t="shared" si="355"/>
        <v>0</v>
      </c>
      <c r="L1860" s="607"/>
      <c r="M1860" s="614"/>
      <c r="N1860" s="614"/>
      <c r="O1860" s="287">
        <f t="shared" si="336"/>
        <v>0</v>
      </c>
      <c r="P1860" s="287">
        <f t="shared" si="337"/>
        <v>0</v>
      </c>
      <c r="Q1860" s="288"/>
      <c r="R1860" s="315" t="str">
        <f>IF(P138&gt;0,"xy","")</f>
        <v/>
      </c>
      <c r="S1860" s="385" t="str">
        <f t="shared" si="353"/>
        <v/>
      </c>
    </row>
    <row r="1861" spans="2:19" ht="13.5" hidden="1" thickBot="1">
      <c r="B1861" s="609" t="s">
        <v>168</v>
      </c>
      <c r="C1861" s="610"/>
      <c r="D1861" s="611" t="s">
        <v>256</v>
      </c>
      <c r="E1861" s="602"/>
      <c r="F1861" s="603">
        <v>180</v>
      </c>
      <c r="G1861" s="604">
        <v>0.1507</v>
      </c>
      <c r="H1861" s="605">
        <f>IF(F1861=0,0,IF(F1861&lt;=30,(0.7*F1861+1.45)*G1861,((0.7*30+1.45)+0.58*(F1861-30))*G1861))</f>
        <v>16.494115000000001</v>
      </c>
      <c r="I1861" s="675">
        <v>0</v>
      </c>
      <c r="J1861" s="675"/>
      <c r="K1861" s="606">
        <f t="shared" si="355"/>
        <v>0</v>
      </c>
      <c r="L1861" s="607"/>
      <c r="M1861" s="614"/>
      <c r="N1861" s="614"/>
      <c r="O1861" s="287">
        <f t="shared" si="336"/>
        <v>0</v>
      </c>
      <c r="P1861" s="287">
        <f t="shared" si="337"/>
        <v>0</v>
      </c>
      <c r="Q1861" s="288"/>
      <c r="R1861" s="315" t="str">
        <f>IF(P138&gt;0,"xy","")</f>
        <v/>
      </c>
      <c r="S1861" s="385" t="str">
        <f t="shared" si="353"/>
        <v/>
      </c>
    </row>
    <row r="1862" spans="2:19" ht="13.5" hidden="1" thickBot="1">
      <c r="B1862" s="609" t="s">
        <v>168</v>
      </c>
      <c r="C1862" s="610"/>
      <c r="D1862" s="611" t="s">
        <v>260</v>
      </c>
      <c r="E1862" s="602"/>
      <c r="F1862" s="603">
        <v>20</v>
      </c>
      <c r="G1862" s="604">
        <v>0.17430000000000001</v>
      </c>
      <c r="H1862" s="605">
        <f>IF(F1862=0,0,IF(F1862&lt;=30,(0.7*F1862+1.45)*G1862,((0.7*30+1.45)+0.58*(F1862-30))*G1862))</f>
        <v>2.6929349999999999</v>
      </c>
      <c r="I1862" s="675">
        <v>0</v>
      </c>
      <c r="J1862" s="675"/>
      <c r="K1862" s="606">
        <f t="shared" si="355"/>
        <v>0</v>
      </c>
      <c r="L1862" s="607"/>
      <c r="M1862" s="614"/>
      <c r="N1862" s="614"/>
      <c r="O1862" s="287">
        <f t="shared" si="336"/>
        <v>0</v>
      </c>
      <c r="P1862" s="287">
        <f t="shared" si="337"/>
        <v>0</v>
      </c>
      <c r="Q1862" s="288"/>
      <c r="R1862" s="315" t="str">
        <f>IF(P138&gt;0,"xy","")</f>
        <v/>
      </c>
      <c r="S1862" s="385" t="str">
        <f t="shared" si="353"/>
        <v/>
      </c>
    </row>
    <row r="1863" spans="2:19" ht="13.5" hidden="1" thickBot="1">
      <c r="B1863" s="609" t="s">
        <v>168</v>
      </c>
      <c r="C1863" s="610"/>
      <c r="D1863" s="611" t="s">
        <v>364</v>
      </c>
      <c r="E1863" s="602"/>
      <c r="F1863" s="603">
        <v>20</v>
      </c>
      <c r="G1863" s="604">
        <v>0.06</v>
      </c>
      <c r="H1863" s="605">
        <f>IF(F1863=0,0,IF(F1863&lt;=30,(0.7*F1863+1.45)*G1863,((0.7*30+1.45)+0.58*(F1863-30))*G1863))</f>
        <v>0.92699999999999994</v>
      </c>
      <c r="I1863" s="675">
        <v>0</v>
      </c>
      <c r="J1863" s="675"/>
      <c r="K1863" s="606">
        <f t="shared" si="355"/>
        <v>0</v>
      </c>
      <c r="L1863" s="607"/>
      <c r="M1863" s="614"/>
      <c r="N1863" s="614"/>
      <c r="O1863" s="287">
        <f t="shared" si="336"/>
        <v>0</v>
      </c>
      <c r="P1863" s="287">
        <f t="shared" si="337"/>
        <v>0</v>
      </c>
      <c r="Q1863" s="288"/>
      <c r="R1863" s="243"/>
      <c r="S1863" s="385" t="str">
        <f t="shared" si="353"/>
        <v/>
      </c>
    </row>
    <row r="1864" spans="2:19" ht="13.5" hidden="1" thickBot="1">
      <c r="B1864" s="609" t="s">
        <v>2037</v>
      </c>
      <c r="C1864" s="610" t="s">
        <v>212</v>
      </c>
      <c r="D1864" s="611" t="s">
        <v>793</v>
      </c>
      <c r="E1864" s="602"/>
      <c r="F1864" s="603"/>
      <c r="G1864" s="604"/>
      <c r="H1864" s="605">
        <f>SUM(H1865:H1867)</f>
        <v>42.586748</v>
      </c>
      <c r="I1864" s="675">
        <v>431.49</v>
      </c>
      <c r="J1864" s="675">
        <f>IF(ISBLANK(I1864),"",SUM(H1864:I1864))</f>
        <v>474.07674800000001</v>
      </c>
      <c r="K1864" s="606">
        <f t="shared" si="355"/>
        <v>575.29</v>
      </c>
      <c r="L1864" s="607" t="s">
        <v>21</v>
      </c>
      <c r="M1864" s="30"/>
      <c r="N1864" s="30"/>
      <c r="O1864" s="287">
        <f t="shared" si="336"/>
        <v>0</v>
      </c>
      <c r="P1864" s="287">
        <f t="shared" si="337"/>
        <v>0</v>
      </c>
      <c r="Q1864" s="288"/>
      <c r="R1864" s="315" t="str">
        <f>IF(P138&gt;0,"xy","")</f>
        <v/>
      </c>
      <c r="S1864" s="385" t="str">
        <f t="shared" ref="S1864:S1927" si="356">IF(R1864="x","x",IF(R1864="y","x",IF(R1864="xy","x",IF(P1864&gt;0,"x",""))))</f>
        <v/>
      </c>
    </row>
    <row r="1865" spans="2:19" ht="13.5" hidden="1" thickBot="1">
      <c r="B1865" s="609" t="s">
        <v>168</v>
      </c>
      <c r="C1865" s="610"/>
      <c r="D1865" s="611" t="s">
        <v>218</v>
      </c>
      <c r="E1865" s="602"/>
      <c r="F1865" s="603">
        <v>500</v>
      </c>
      <c r="G1865" s="604">
        <v>6.3600000000000004E-2</v>
      </c>
      <c r="H1865" s="605">
        <f>IF(F1865&lt;=30,(0.51*F1865+4.28)*G1865,((0.51*30+4.28)+0.42*(F1865-30))*G1865)</f>
        <v>13.799928000000001</v>
      </c>
      <c r="I1865" s="675">
        <v>0</v>
      </c>
      <c r="J1865" s="675"/>
      <c r="K1865" s="606">
        <f t="shared" si="355"/>
        <v>0</v>
      </c>
      <c r="L1865" s="607"/>
      <c r="M1865" s="614"/>
      <c r="N1865" s="614"/>
      <c r="O1865" s="287">
        <f t="shared" si="336"/>
        <v>0</v>
      </c>
      <c r="P1865" s="287">
        <f t="shared" si="337"/>
        <v>0</v>
      </c>
      <c r="Q1865" s="288"/>
      <c r="R1865" s="315" t="str">
        <f>IF(P138&gt;0,"xy","")</f>
        <v/>
      </c>
      <c r="S1865" s="385" t="str">
        <f t="shared" si="356"/>
        <v/>
      </c>
    </row>
    <row r="1866" spans="2:19" ht="13.5" hidden="1" thickBot="1">
      <c r="B1866" s="609" t="s">
        <v>168</v>
      </c>
      <c r="C1866" s="610"/>
      <c r="D1866" s="611" t="s">
        <v>256</v>
      </c>
      <c r="E1866" s="602"/>
      <c r="F1866" s="603">
        <v>180</v>
      </c>
      <c r="G1866" s="604">
        <v>0.2261</v>
      </c>
      <c r="H1866" s="605">
        <f>IF(F1866=0,0,IF(F1866&lt;=30,(0.7*F1866+1.45)*G1866,((0.7*30+1.45)+0.58*(F1866-30))*G1866))</f>
        <v>24.746645000000001</v>
      </c>
      <c r="I1866" s="675">
        <v>0</v>
      </c>
      <c r="J1866" s="675"/>
      <c r="K1866" s="606">
        <f t="shared" si="355"/>
        <v>0</v>
      </c>
      <c r="L1866" s="607"/>
      <c r="M1866" s="614"/>
      <c r="N1866" s="614"/>
      <c r="O1866" s="287">
        <f t="shared" si="336"/>
        <v>0</v>
      </c>
      <c r="P1866" s="287">
        <f t="shared" si="337"/>
        <v>0</v>
      </c>
      <c r="Q1866" s="288"/>
      <c r="R1866" s="315" t="str">
        <f>IF(P138&gt;0,"xy","")</f>
        <v/>
      </c>
      <c r="S1866" s="385" t="str">
        <f t="shared" si="356"/>
        <v/>
      </c>
    </row>
    <row r="1867" spans="2:19" ht="13.5" hidden="1" thickBot="1">
      <c r="B1867" s="609" t="s">
        <v>168</v>
      </c>
      <c r="C1867" s="610"/>
      <c r="D1867" s="611" t="s">
        <v>260</v>
      </c>
      <c r="E1867" s="602"/>
      <c r="F1867" s="603">
        <v>20</v>
      </c>
      <c r="G1867" s="604">
        <v>0.26150000000000001</v>
      </c>
      <c r="H1867" s="605">
        <f>IF(F1867=0,0,IF(F1867&lt;=30,(0.7*F1867+1.45)*G1867,((0.7*30+1.45)+0.58*(F1867-30))*G1867))</f>
        <v>4.0401749999999996</v>
      </c>
      <c r="I1867" s="675">
        <v>0</v>
      </c>
      <c r="J1867" s="675"/>
      <c r="K1867" s="606">
        <f t="shared" si="355"/>
        <v>0</v>
      </c>
      <c r="L1867" s="607"/>
      <c r="M1867" s="614"/>
      <c r="N1867" s="614"/>
      <c r="O1867" s="287">
        <f t="shared" si="336"/>
        <v>0</v>
      </c>
      <c r="P1867" s="287">
        <f t="shared" si="337"/>
        <v>0</v>
      </c>
      <c r="Q1867" s="288"/>
      <c r="R1867" s="243"/>
      <c r="S1867" s="385" t="str">
        <f t="shared" si="356"/>
        <v/>
      </c>
    </row>
    <row r="1868" spans="2:19" ht="13.5" hidden="1" thickBot="1">
      <c r="B1868" s="609" t="s">
        <v>2038</v>
      </c>
      <c r="C1868" s="610" t="s">
        <v>212</v>
      </c>
      <c r="D1868" s="611" t="s">
        <v>371</v>
      </c>
      <c r="E1868" s="602"/>
      <c r="F1868" s="603"/>
      <c r="G1868" s="604"/>
      <c r="H1868" s="605">
        <f>SUM(H1869:H1871)</f>
        <v>81.550037000000003</v>
      </c>
      <c r="I1868" s="675">
        <v>763.40000000000009</v>
      </c>
      <c r="J1868" s="675">
        <f t="shared" ref="J1868:J1872" si="357">IF(ISBLANK(I1868),"",SUM(H1868:I1868))</f>
        <v>844.95003700000007</v>
      </c>
      <c r="K1868" s="606">
        <f t="shared" si="355"/>
        <v>1025.3499999999999</v>
      </c>
      <c r="L1868" s="607" t="s">
        <v>21</v>
      </c>
      <c r="M1868" s="30"/>
      <c r="N1868" s="30"/>
      <c r="O1868" s="287">
        <f t="shared" si="336"/>
        <v>0</v>
      </c>
      <c r="P1868" s="287">
        <f t="shared" si="337"/>
        <v>0</v>
      </c>
      <c r="Q1868" s="288"/>
      <c r="R1868" s="315" t="str">
        <f>IF(P138&gt;0,"xy","")</f>
        <v/>
      </c>
      <c r="S1868" s="385" t="str">
        <f t="shared" si="356"/>
        <v/>
      </c>
    </row>
    <row r="1869" spans="2:19" ht="13.5" hidden="1" thickBot="1">
      <c r="B1869" s="609" t="s">
        <v>168</v>
      </c>
      <c r="C1869" s="610"/>
      <c r="D1869" s="611" t="s">
        <v>218</v>
      </c>
      <c r="E1869" s="602"/>
      <c r="F1869" s="603">
        <v>500</v>
      </c>
      <c r="G1869" s="604">
        <v>0.1154</v>
      </c>
      <c r="H1869" s="605">
        <f>IF(F1869&lt;=30,(0.51*F1869+4.28)*G1869,((0.51*30+4.28)+0.42*(F1869-30))*G1869)</f>
        <v>25.039492000000003</v>
      </c>
      <c r="I1869" s="675">
        <v>0</v>
      </c>
      <c r="J1869" s="675"/>
      <c r="K1869" s="606">
        <f t="shared" si="355"/>
        <v>0</v>
      </c>
      <c r="L1869" s="607"/>
      <c r="M1869" s="614"/>
      <c r="N1869" s="614"/>
      <c r="O1869" s="287">
        <f t="shared" si="336"/>
        <v>0</v>
      </c>
      <c r="P1869" s="287">
        <f t="shared" si="337"/>
        <v>0</v>
      </c>
      <c r="Q1869" s="288"/>
      <c r="R1869" s="315" t="str">
        <f>IF(P138&gt;0,"xy","")</f>
        <v/>
      </c>
      <c r="S1869" s="385" t="str">
        <f t="shared" si="356"/>
        <v/>
      </c>
    </row>
    <row r="1870" spans="2:19" ht="13.5" hidden="1" thickBot="1">
      <c r="B1870" s="609" t="s">
        <v>168</v>
      </c>
      <c r="C1870" s="610"/>
      <c r="D1870" s="611" t="s">
        <v>256</v>
      </c>
      <c r="E1870" s="602"/>
      <c r="F1870" s="603">
        <v>180</v>
      </c>
      <c r="G1870" s="604">
        <v>0.41049999999999998</v>
      </c>
      <c r="H1870" s="605">
        <f>IF(F1870=0,0,IF(F1870&lt;=30,(0.7*F1870+1.45)*G1870,((0.7*30+1.45)+0.58*(F1870-30))*G1870))</f>
        <v>44.929224999999995</v>
      </c>
      <c r="I1870" s="675">
        <v>0</v>
      </c>
      <c r="J1870" s="675"/>
      <c r="K1870" s="606">
        <f t="shared" si="355"/>
        <v>0</v>
      </c>
      <c r="L1870" s="607"/>
      <c r="M1870" s="614"/>
      <c r="N1870" s="614"/>
      <c r="O1870" s="287">
        <f t="shared" si="336"/>
        <v>0</v>
      </c>
      <c r="P1870" s="287">
        <f t="shared" si="337"/>
        <v>0</v>
      </c>
      <c r="Q1870" s="288"/>
      <c r="R1870" s="315" t="str">
        <f>IF(P138&gt;0,"xy","")</f>
        <v/>
      </c>
      <c r="S1870" s="385" t="str">
        <f t="shared" si="356"/>
        <v/>
      </c>
    </row>
    <row r="1871" spans="2:19" ht="13.5" hidden="1" thickBot="1">
      <c r="B1871" s="609" t="s">
        <v>168</v>
      </c>
      <c r="C1871" s="610"/>
      <c r="D1871" s="611" t="s">
        <v>260</v>
      </c>
      <c r="E1871" s="602"/>
      <c r="F1871" s="603">
        <v>20</v>
      </c>
      <c r="G1871" s="604">
        <v>0.74960000000000004</v>
      </c>
      <c r="H1871" s="605">
        <f>IF(F1871=0,0,IF(F1871&lt;=30,(0.7*F1871+1.45)*G1871,((0.7*30+1.45)+0.58*(F1871-30))*G1871))</f>
        <v>11.58132</v>
      </c>
      <c r="I1871" s="675">
        <v>0</v>
      </c>
      <c r="J1871" s="675"/>
      <c r="K1871" s="606">
        <f t="shared" si="355"/>
        <v>0</v>
      </c>
      <c r="L1871" s="607"/>
      <c r="M1871" s="614"/>
      <c r="N1871" s="614"/>
      <c r="O1871" s="287">
        <f t="shared" si="336"/>
        <v>0</v>
      </c>
      <c r="P1871" s="287">
        <f t="shared" si="337"/>
        <v>0</v>
      </c>
      <c r="Q1871" s="288"/>
      <c r="R1871" s="243"/>
      <c r="S1871" s="385" t="str">
        <f t="shared" si="356"/>
        <v/>
      </c>
    </row>
    <row r="1872" spans="2:19" ht="13.5" hidden="1" thickBot="1">
      <c r="B1872" s="609" t="s">
        <v>2039</v>
      </c>
      <c r="C1872" s="610" t="s">
        <v>212</v>
      </c>
      <c r="D1872" s="611" t="s">
        <v>794</v>
      </c>
      <c r="E1872" s="602"/>
      <c r="F1872" s="603"/>
      <c r="G1872" s="604"/>
      <c r="H1872" s="605">
        <f>SUM(H1873:H1875)</f>
        <v>110.65691300000002</v>
      </c>
      <c r="I1872" s="675">
        <v>948.34</v>
      </c>
      <c r="J1872" s="675">
        <f t="shared" si="357"/>
        <v>1058.9969129999999</v>
      </c>
      <c r="K1872" s="606">
        <f t="shared" si="355"/>
        <v>1285.0899999999999</v>
      </c>
      <c r="L1872" s="607" t="s">
        <v>21</v>
      </c>
      <c r="M1872" s="30"/>
      <c r="N1872" s="30"/>
      <c r="O1872" s="287">
        <f t="shared" si="336"/>
        <v>0</v>
      </c>
      <c r="P1872" s="287">
        <f t="shared" si="337"/>
        <v>0</v>
      </c>
      <c r="Q1872" s="288"/>
      <c r="R1872" s="315" t="str">
        <f>IF(P138&gt;0,"xy","")</f>
        <v/>
      </c>
      <c r="S1872" s="385" t="str">
        <f t="shared" si="356"/>
        <v/>
      </c>
    </row>
    <row r="1873" spans="2:19" ht="13.5" hidden="1" thickBot="1">
      <c r="B1873" s="609" t="s">
        <v>168</v>
      </c>
      <c r="C1873" s="610"/>
      <c r="D1873" s="611" t="s">
        <v>218</v>
      </c>
      <c r="E1873" s="602"/>
      <c r="F1873" s="603">
        <v>500</v>
      </c>
      <c r="G1873" s="604">
        <v>0.15659999999999999</v>
      </c>
      <c r="H1873" s="605">
        <f>IF(F1873&lt;=30,(0.51*F1873+4.28)*G1873,((0.51*30+4.28)+0.42*(F1873-30))*G1873)</f>
        <v>33.979067999999998</v>
      </c>
      <c r="I1873" s="675">
        <v>0</v>
      </c>
      <c r="J1873" s="675"/>
      <c r="K1873" s="606">
        <f t="shared" si="355"/>
        <v>0</v>
      </c>
      <c r="L1873" s="607"/>
      <c r="M1873" s="614"/>
      <c r="N1873" s="614"/>
      <c r="O1873" s="287">
        <f t="shared" si="336"/>
        <v>0</v>
      </c>
      <c r="P1873" s="287">
        <f t="shared" si="337"/>
        <v>0</v>
      </c>
      <c r="Q1873" s="288"/>
      <c r="R1873" s="315" t="str">
        <f>IF(P138&gt;0,"xy","")</f>
        <v/>
      </c>
      <c r="S1873" s="385" t="str">
        <f t="shared" si="356"/>
        <v/>
      </c>
    </row>
    <row r="1874" spans="2:19" ht="13.5" hidden="1" thickBot="1">
      <c r="B1874" s="609" t="s">
        <v>168</v>
      </c>
      <c r="C1874" s="610"/>
      <c r="D1874" s="611" t="s">
        <v>256</v>
      </c>
      <c r="E1874" s="602"/>
      <c r="F1874" s="603">
        <v>180</v>
      </c>
      <c r="G1874" s="604">
        <v>0.55700000000000005</v>
      </c>
      <c r="H1874" s="605">
        <f>IF(F1874=0,0,IF(F1874&lt;=30,(0.7*F1874+1.45)*G1874,((0.7*30+1.45)+0.58*(F1874-30))*G1874))</f>
        <v>60.963650000000008</v>
      </c>
      <c r="I1874" s="675">
        <v>0</v>
      </c>
      <c r="J1874" s="675"/>
      <c r="K1874" s="606">
        <f t="shared" si="355"/>
        <v>0</v>
      </c>
      <c r="L1874" s="607"/>
      <c r="M1874" s="614"/>
      <c r="N1874" s="614"/>
      <c r="O1874" s="287">
        <f t="shared" si="336"/>
        <v>0</v>
      </c>
      <c r="P1874" s="287">
        <f t="shared" si="337"/>
        <v>0</v>
      </c>
      <c r="Q1874" s="288"/>
      <c r="R1874" s="315" t="str">
        <f>IF(P138&gt;0,"xy","")</f>
        <v/>
      </c>
      <c r="S1874" s="385" t="str">
        <f t="shared" si="356"/>
        <v/>
      </c>
    </row>
    <row r="1875" spans="2:19" ht="13.5" hidden="1" thickBot="1">
      <c r="B1875" s="609" t="s">
        <v>168</v>
      </c>
      <c r="C1875" s="610"/>
      <c r="D1875" s="611" t="s">
        <v>260</v>
      </c>
      <c r="E1875" s="602"/>
      <c r="F1875" s="603">
        <v>20</v>
      </c>
      <c r="G1875" s="604">
        <v>1.0170999999999999</v>
      </c>
      <c r="H1875" s="605">
        <f>IF(F1875=0,0,IF(F1875&lt;=30,(0.7*F1875+1.45)*G1875,((0.7*30+1.45)+0.58*(F1875-30))*G1875))</f>
        <v>15.714194999999998</v>
      </c>
      <c r="I1875" s="675">
        <v>0</v>
      </c>
      <c r="J1875" s="675"/>
      <c r="K1875" s="606">
        <f t="shared" si="355"/>
        <v>0</v>
      </c>
      <c r="L1875" s="607"/>
      <c r="M1875" s="614"/>
      <c r="N1875" s="614"/>
      <c r="O1875" s="287">
        <f t="shared" si="336"/>
        <v>0</v>
      </c>
      <c r="P1875" s="287">
        <f t="shared" si="337"/>
        <v>0</v>
      </c>
      <c r="Q1875" s="288"/>
      <c r="R1875" s="243"/>
      <c r="S1875" s="385" t="str">
        <f t="shared" si="356"/>
        <v/>
      </c>
    </row>
    <row r="1876" spans="2:19" ht="13.5" hidden="1" thickBot="1">
      <c r="B1876" s="609" t="s">
        <v>2040</v>
      </c>
      <c r="C1876" s="610" t="s">
        <v>212</v>
      </c>
      <c r="D1876" s="611" t="s">
        <v>372</v>
      </c>
      <c r="E1876" s="602"/>
      <c r="F1876" s="603"/>
      <c r="G1876" s="604"/>
      <c r="H1876" s="605">
        <f>SUM(H1877:H1879)</f>
        <v>139.763789</v>
      </c>
      <c r="I1876" s="675">
        <v>1133.27</v>
      </c>
      <c r="J1876" s="675">
        <f t="shared" ref="J1876" si="358">IF(ISBLANK(I1876),"",SUM(H1876:I1876))</f>
        <v>1273.0337890000001</v>
      </c>
      <c r="K1876" s="606">
        <f t="shared" si="355"/>
        <v>1544.83</v>
      </c>
      <c r="L1876" s="607" t="s">
        <v>21</v>
      </c>
      <c r="M1876" s="30"/>
      <c r="N1876" s="30"/>
      <c r="O1876" s="287">
        <f t="shared" si="336"/>
        <v>0</v>
      </c>
      <c r="P1876" s="287">
        <f t="shared" si="337"/>
        <v>0</v>
      </c>
      <c r="Q1876" s="288"/>
      <c r="R1876" s="315" t="str">
        <f>IF(P138&gt;0,"xy","")</f>
        <v/>
      </c>
      <c r="S1876" s="385" t="str">
        <f t="shared" si="356"/>
        <v/>
      </c>
    </row>
    <row r="1877" spans="2:19" ht="13.5" hidden="1" thickBot="1">
      <c r="B1877" s="609" t="s">
        <v>168</v>
      </c>
      <c r="C1877" s="610"/>
      <c r="D1877" s="611" t="s">
        <v>218</v>
      </c>
      <c r="E1877" s="602"/>
      <c r="F1877" s="603">
        <v>500</v>
      </c>
      <c r="G1877" s="604">
        <v>0.1978</v>
      </c>
      <c r="H1877" s="605">
        <f>IF(F1877&lt;=30,(0.51*F1877+4.28)*G1877,((0.51*30+4.28)+0.42*(F1877-30))*G1877)</f>
        <v>42.918644000000008</v>
      </c>
      <c r="I1877" s="675">
        <v>0</v>
      </c>
      <c r="J1877" s="675"/>
      <c r="K1877" s="606">
        <f t="shared" si="355"/>
        <v>0</v>
      </c>
      <c r="L1877" s="607"/>
      <c r="M1877" s="614"/>
      <c r="N1877" s="614"/>
      <c r="O1877" s="287">
        <f t="shared" si="336"/>
        <v>0</v>
      </c>
      <c r="P1877" s="287">
        <f t="shared" si="337"/>
        <v>0</v>
      </c>
      <c r="Q1877" s="288"/>
      <c r="R1877" s="315" t="str">
        <f>IF(P138&gt;0,"xy","")</f>
        <v/>
      </c>
      <c r="S1877" s="385" t="str">
        <f t="shared" si="356"/>
        <v/>
      </c>
    </row>
    <row r="1878" spans="2:19" ht="13.5" hidden="1" thickBot="1">
      <c r="B1878" s="609" t="s">
        <v>168</v>
      </c>
      <c r="C1878" s="610"/>
      <c r="D1878" s="611" t="s">
        <v>256</v>
      </c>
      <c r="E1878" s="602"/>
      <c r="F1878" s="603">
        <v>180</v>
      </c>
      <c r="G1878" s="604">
        <v>0.70350000000000001</v>
      </c>
      <c r="H1878" s="605">
        <f>IF(F1878=0,0,IF(F1878&lt;=30,(0.7*F1878+1.45)*G1878,((0.7*30+1.45)+0.58*(F1878-30))*G1878))</f>
        <v>76.998075</v>
      </c>
      <c r="I1878" s="675">
        <v>0</v>
      </c>
      <c r="J1878" s="675"/>
      <c r="K1878" s="606">
        <f t="shared" si="355"/>
        <v>0</v>
      </c>
      <c r="L1878" s="607"/>
      <c r="M1878" s="614"/>
      <c r="N1878" s="614"/>
      <c r="O1878" s="287">
        <f t="shared" si="336"/>
        <v>0</v>
      </c>
      <c r="P1878" s="287">
        <f t="shared" si="337"/>
        <v>0</v>
      </c>
      <c r="Q1878" s="288"/>
      <c r="R1878" s="315" t="str">
        <f>IF(P138&gt;0,"xy","")</f>
        <v/>
      </c>
      <c r="S1878" s="385" t="str">
        <f t="shared" si="356"/>
        <v/>
      </c>
    </row>
    <row r="1879" spans="2:19" ht="13.5" hidden="1" thickBot="1">
      <c r="B1879" s="609" t="s">
        <v>168</v>
      </c>
      <c r="C1879" s="610"/>
      <c r="D1879" s="611" t="s">
        <v>260</v>
      </c>
      <c r="E1879" s="602"/>
      <c r="F1879" s="603">
        <v>20</v>
      </c>
      <c r="G1879" s="604">
        <v>1.2846</v>
      </c>
      <c r="H1879" s="605">
        <f>IF(F1879=0,0,IF(F1879&lt;=30,(0.7*F1879+1.45)*G1879,((0.7*30+1.45)+0.58*(F1879-30))*G1879))</f>
        <v>19.847069999999999</v>
      </c>
      <c r="I1879" s="675">
        <v>0</v>
      </c>
      <c r="J1879" s="675"/>
      <c r="K1879" s="606">
        <f t="shared" si="355"/>
        <v>0</v>
      </c>
      <c r="L1879" s="607"/>
      <c r="M1879" s="614"/>
      <c r="N1879" s="614"/>
      <c r="O1879" s="287">
        <f t="shared" si="336"/>
        <v>0</v>
      </c>
      <c r="P1879" s="287">
        <f t="shared" si="337"/>
        <v>0</v>
      </c>
      <c r="Q1879" s="288"/>
      <c r="R1879" s="243"/>
      <c r="S1879" s="385" t="str">
        <f t="shared" si="356"/>
        <v/>
      </c>
    </row>
    <row r="1880" spans="2:19" ht="13.5" hidden="1" thickBot="1">
      <c r="B1880" s="609" t="s">
        <v>2041</v>
      </c>
      <c r="C1880" s="610" t="s">
        <v>212</v>
      </c>
      <c r="D1880" s="611" t="s">
        <v>795</v>
      </c>
      <c r="E1880" s="602"/>
      <c r="F1880" s="603"/>
      <c r="G1880" s="604"/>
      <c r="H1880" s="605">
        <f>SUM(H1881:H1883)</f>
        <v>155.782082</v>
      </c>
      <c r="I1880" s="675">
        <v>1358.56</v>
      </c>
      <c r="J1880" s="675">
        <f t="shared" ref="J1880" si="359">IF(ISBLANK(I1880),"",SUM(H1880:I1880))</f>
        <v>1514.3420819999999</v>
      </c>
      <c r="K1880" s="606">
        <f t="shared" si="355"/>
        <v>1837.65</v>
      </c>
      <c r="L1880" s="607" t="s">
        <v>21</v>
      </c>
      <c r="M1880" s="30"/>
      <c r="N1880" s="30"/>
      <c r="O1880" s="287">
        <f t="shared" si="336"/>
        <v>0</v>
      </c>
      <c r="P1880" s="287">
        <f t="shared" si="337"/>
        <v>0</v>
      </c>
      <c r="Q1880" s="288"/>
      <c r="R1880" s="315" t="str">
        <f>IF(P142&gt;0,"xy","")</f>
        <v/>
      </c>
      <c r="S1880" s="385" t="str">
        <f t="shared" si="356"/>
        <v/>
      </c>
    </row>
    <row r="1881" spans="2:19" ht="13.5" hidden="1" thickBot="1">
      <c r="B1881" s="609" t="s">
        <v>168</v>
      </c>
      <c r="C1881" s="610"/>
      <c r="D1881" s="611" t="s">
        <v>218</v>
      </c>
      <c r="E1881" s="602"/>
      <c r="F1881" s="603">
        <v>500</v>
      </c>
      <c r="G1881" s="604">
        <v>0.2424</v>
      </c>
      <c r="H1881" s="605">
        <f>IF(F1881&lt;=30,(0.51*F1881+4.28)*G1881,((0.51*30+4.28)+0.42*(F1881-30))*G1881)</f>
        <v>52.595952000000004</v>
      </c>
      <c r="I1881" s="675">
        <v>0</v>
      </c>
      <c r="J1881" s="675"/>
      <c r="K1881" s="606">
        <f t="shared" si="355"/>
        <v>0</v>
      </c>
      <c r="L1881" s="607"/>
      <c r="M1881" s="614"/>
      <c r="N1881" s="614"/>
      <c r="O1881" s="287">
        <f t="shared" si="336"/>
        <v>0</v>
      </c>
      <c r="P1881" s="287">
        <f t="shared" si="337"/>
        <v>0</v>
      </c>
      <c r="Q1881" s="288"/>
      <c r="R1881" s="315" t="str">
        <f>IF(P142&gt;0,"xy","")</f>
        <v/>
      </c>
      <c r="S1881" s="385" t="str">
        <f t="shared" si="356"/>
        <v/>
      </c>
    </row>
    <row r="1882" spans="2:19" ht="13.5" hidden="1" thickBot="1">
      <c r="B1882" s="609" t="s">
        <v>168</v>
      </c>
      <c r="C1882" s="610"/>
      <c r="D1882" s="611" t="s">
        <v>256</v>
      </c>
      <c r="E1882" s="602"/>
      <c r="F1882" s="603">
        <v>180</v>
      </c>
      <c r="G1882" s="604">
        <v>0.86180000000000001</v>
      </c>
      <c r="H1882" s="605">
        <f>IF(F1882=0,0,IF(F1882&lt;=30,(0.7*F1882+1.45)*G1882,((0.7*30+1.45)+0.58*(F1882-30))*G1882))</f>
        <v>94.324010000000001</v>
      </c>
      <c r="I1882" s="675">
        <v>0</v>
      </c>
      <c r="J1882" s="675"/>
      <c r="K1882" s="606">
        <f t="shared" si="355"/>
        <v>0</v>
      </c>
      <c r="L1882" s="607"/>
      <c r="M1882" s="614"/>
      <c r="N1882" s="614"/>
      <c r="O1882" s="287">
        <f t="shared" si="336"/>
        <v>0</v>
      </c>
      <c r="P1882" s="287">
        <f t="shared" si="337"/>
        <v>0</v>
      </c>
      <c r="Q1882" s="288"/>
      <c r="R1882" s="315" t="str">
        <f>IF(P142&gt;0,"xy","")</f>
        <v/>
      </c>
      <c r="S1882" s="385" t="str">
        <f t="shared" si="356"/>
        <v/>
      </c>
    </row>
    <row r="1883" spans="2:19" ht="13.5" hidden="1" thickBot="1">
      <c r="B1883" s="609" t="s">
        <v>168</v>
      </c>
      <c r="C1883" s="610"/>
      <c r="D1883" s="611" t="s">
        <v>260</v>
      </c>
      <c r="E1883" s="602"/>
      <c r="F1883" s="603">
        <v>20</v>
      </c>
      <c r="G1883" s="604">
        <v>0.5736</v>
      </c>
      <c r="H1883" s="605">
        <f>IF(F1883=0,0,IF(F1883&lt;=30,(0.7*F1883+1.45)*G1883,((0.7*30+1.45)+0.58*(F1883-30))*G1883))</f>
        <v>8.8621199999999991</v>
      </c>
      <c r="I1883" s="675">
        <v>0</v>
      </c>
      <c r="J1883" s="675"/>
      <c r="K1883" s="606">
        <f t="shared" si="355"/>
        <v>0</v>
      </c>
      <c r="L1883" s="607"/>
      <c r="M1883" s="614"/>
      <c r="N1883" s="614"/>
      <c r="O1883" s="287">
        <f t="shared" si="336"/>
        <v>0</v>
      </c>
      <c r="P1883" s="287">
        <f t="shared" si="337"/>
        <v>0</v>
      </c>
      <c r="Q1883" s="288"/>
      <c r="R1883" s="243"/>
      <c r="S1883" s="385" t="str">
        <f t="shared" si="356"/>
        <v/>
      </c>
    </row>
    <row r="1884" spans="2:19" ht="13.5" hidden="1" thickBot="1">
      <c r="B1884" s="609" t="s">
        <v>2044</v>
      </c>
      <c r="C1884" s="610" t="s">
        <v>212</v>
      </c>
      <c r="D1884" s="611" t="s">
        <v>373</v>
      </c>
      <c r="E1884" s="602"/>
      <c r="F1884" s="603"/>
      <c r="G1884" s="604"/>
      <c r="H1884" s="605">
        <f>SUM(H1885:H1887)</f>
        <v>202.66618700000001</v>
      </c>
      <c r="I1884" s="675">
        <v>1583.84</v>
      </c>
      <c r="J1884" s="675">
        <f t="shared" ref="J1884" si="360">IF(ISBLANK(I1884),"",SUM(H1884:I1884))</f>
        <v>1786.506187</v>
      </c>
      <c r="K1884" s="606">
        <f t="shared" si="355"/>
        <v>2167.9299999999998</v>
      </c>
      <c r="L1884" s="607" t="s">
        <v>21</v>
      </c>
      <c r="M1884" s="30"/>
      <c r="N1884" s="30"/>
      <c r="O1884" s="287">
        <f t="shared" si="336"/>
        <v>0</v>
      </c>
      <c r="P1884" s="287">
        <f t="shared" si="337"/>
        <v>0</v>
      </c>
      <c r="Q1884" s="288"/>
      <c r="R1884" s="315" t="str">
        <f>IF(P146&gt;0,"xy","")</f>
        <v/>
      </c>
      <c r="S1884" s="385" t="str">
        <f t="shared" si="356"/>
        <v/>
      </c>
    </row>
    <row r="1885" spans="2:19" ht="13.5" hidden="1" thickBot="1">
      <c r="B1885" s="609" t="s">
        <v>168</v>
      </c>
      <c r="C1885" s="610"/>
      <c r="D1885" s="611" t="s">
        <v>218</v>
      </c>
      <c r="E1885" s="602"/>
      <c r="F1885" s="603">
        <v>500</v>
      </c>
      <c r="G1885" s="604">
        <v>0.28689999999999999</v>
      </c>
      <c r="H1885" s="605">
        <f>IF(F1885&lt;=30,(0.51*F1885+4.28)*G1885,((0.51*30+4.28)+0.42*(F1885-30))*G1885)</f>
        <v>62.251562</v>
      </c>
      <c r="I1885" s="675">
        <v>0</v>
      </c>
      <c r="J1885" s="675"/>
      <c r="K1885" s="606">
        <f t="shared" si="355"/>
        <v>0</v>
      </c>
      <c r="L1885" s="607"/>
      <c r="M1885" s="614"/>
      <c r="N1885" s="614"/>
      <c r="O1885" s="287">
        <f t="shared" si="336"/>
        <v>0</v>
      </c>
      <c r="P1885" s="287">
        <f t="shared" si="337"/>
        <v>0</v>
      </c>
      <c r="Q1885" s="288"/>
      <c r="R1885" s="315" t="str">
        <f>IF(P146&gt;0,"xy","")</f>
        <v/>
      </c>
      <c r="S1885" s="385" t="str">
        <f t="shared" si="356"/>
        <v/>
      </c>
    </row>
    <row r="1886" spans="2:19" ht="13.5" hidden="1" thickBot="1">
      <c r="B1886" s="609" t="s">
        <v>168</v>
      </c>
      <c r="C1886" s="610"/>
      <c r="D1886" s="611" t="s">
        <v>256</v>
      </c>
      <c r="E1886" s="602"/>
      <c r="F1886" s="603">
        <v>180</v>
      </c>
      <c r="G1886" s="604">
        <v>1.02</v>
      </c>
      <c r="H1886" s="605">
        <f>IF(F1886=0,0,IF(F1886&lt;=30,(0.7*F1886+1.45)*G1886,((0.7*30+1.45)+0.58*(F1886-30))*G1886))</f>
        <v>111.63900000000001</v>
      </c>
      <c r="I1886" s="675">
        <v>0</v>
      </c>
      <c r="J1886" s="675"/>
      <c r="K1886" s="606">
        <f t="shared" si="355"/>
        <v>0</v>
      </c>
      <c r="L1886" s="607"/>
      <c r="M1886" s="614"/>
      <c r="N1886" s="614"/>
      <c r="O1886" s="287">
        <f t="shared" si="336"/>
        <v>0</v>
      </c>
      <c r="P1886" s="287">
        <f t="shared" si="337"/>
        <v>0</v>
      </c>
      <c r="Q1886" s="288"/>
      <c r="R1886" s="315" t="str">
        <f>IF(P146&gt;0,"xy","")</f>
        <v/>
      </c>
      <c r="S1886" s="385" t="str">
        <f t="shared" si="356"/>
        <v/>
      </c>
    </row>
    <row r="1887" spans="2:19" ht="13.5" hidden="1" thickBot="1">
      <c r="B1887" s="609" t="s">
        <v>168</v>
      </c>
      <c r="C1887" s="610"/>
      <c r="D1887" s="611" t="s">
        <v>260</v>
      </c>
      <c r="E1887" s="602"/>
      <c r="F1887" s="603">
        <v>20</v>
      </c>
      <c r="G1887" s="604">
        <v>1.8625</v>
      </c>
      <c r="H1887" s="605">
        <f>IF(F1887=0,0,IF(F1887&lt;=30,(0.7*F1887+1.45)*G1887,((0.7*30+1.45)+0.58*(F1887-30))*G1887))</f>
        <v>28.775624999999998</v>
      </c>
      <c r="I1887" s="675">
        <v>0</v>
      </c>
      <c r="J1887" s="675"/>
      <c r="K1887" s="606">
        <f t="shared" si="355"/>
        <v>0</v>
      </c>
      <c r="L1887" s="607"/>
      <c r="M1887" s="614"/>
      <c r="N1887" s="614"/>
      <c r="O1887" s="287">
        <f t="shared" si="336"/>
        <v>0</v>
      </c>
      <c r="P1887" s="287">
        <f t="shared" si="337"/>
        <v>0</v>
      </c>
      <c r="Q1887" s="288"/>
      <c r="R1887" s="243"/>
      <c r="S1887" s="385" t="str">
        <f t="shared" si="356"/>
        <v/>
      </c>
    </row>
    <row r="1888" spans="2:19" ht="13.5" hidden="1" thickBot="1">
      <c r="B1888" s="609">
        <v>620300</v>
      </c>
      <c r="C1888" s="610" t="s">
        <v>212</v>
      </c>
      <c r="D1888" s="611" t="s">
        <v>374</v>
      </c>
      <c r="E1888" s="602"/>
      <c r="F1888" s="603"/>
      <c r="G1888" s="604"/>
      <c r="H1888" s="605">
        <f>SUM(H1889:H1891)</f>
        <v>304.14024500000005</v>
      </c>
      <c r="I1888" s="675">
        <v>2229.9699999999998</v>
      </c>
      <c r="J1888" s="675">
        <f t="shared" ref="J1888" si="361">IF(ISBLANK(I1888),"",SUM(H1888:I1888))</f>
        <v>2534.1102449999998</v>
      </c>
      <c r="K1888" s="606">
        <f t="shared" si="355"/>
        <v>3075.14</v>
      </c>
      <c r="L1888" s="607" t="s">
        <v>21</v>
      </c>
      <c r="M1888" s="30"/>
      <c r="N1888" s="30"/>
      <c r="O1888" s="287">
        <f t="shared" si="336"/>
        <v>0</v>
      </c>
      <c r="P1888" s="287">
        <f t="shared" si="337"/>
        <v>0</v>
      </c>
      <c r="Q1888" s="288"/>
      <c r="R1888" s="315" t="str">
        <f>IF(P150&gt;0,"xy","")</f>
        <v/>
      </c>
      <c r="S1888" s="385" t="str">
        <f t="shared" si="356"/>
        <v/>
      </c>
    </row>
    <row r="1889" spans="2:19" ht="13.5" hidden="1" thickBot="1">
      <c r="B1889" s="609" t="s">
        <v>168</v>
      </c>
      <c r="C1889" s="610"/>
      <c r="D1889" s="611" t="s">
        <v>218</v>
      </c>
      <c r="E1889" s="602"/>
      <c r="F1889" s="603">
        <v>500</v>
      </c>
      <c r="G1889" s="604">
        <v>0.43049999999999999</v>
      </c>
      <c r="H1889" s="605">
        <f>IF(F1889&lt;=30,(0.51*F1889+4.28)*G1889,((0.51*30+4.28)+0.42*(F1889-30))*G1889)</f>
        <v>93.409890000000004</v>
      </c>
      <c r="I1889" s="675">
        <v>0</v>
      </c>
      <c r="J1889" s="675"/>
      <c r="K1889" s="606">
        <f t="shared" si="355"/>
        <v>0</v>
      </c>
      <c r="L1889" s="607"/>
      <c r="M1889" s="614"/>
      <c r="N1889" s="614"/>
      <c r="O1889" s="287">
        <f t="shared" si="336"/>
        <v>0</v>
      </c>
      <c r="P1889" s="287">
        <f t="shared" si="337"/>
        <v>0</v>
      </c>
      <c r="Q1889" s="288"/>
      <c r="R1889" s="315" t="str">
        <f>IF(P150&gt;0,"xy","")</f>
        <v/>
      </c>
      <c r="S1889" s="385" t="str">
        <f t="shared" si="356"/>
        <v/>
      </c>
    </row>
    <row r="1890" spans="2:19" ht="13.5" hidden="1" thickBot="1">
      <c r="B1890" s="609" t="s">
        <v>168</v>
      </c>
      <c r="C1890" s="610"/>
      <c r="D1890" s="611" t="s">
        <v>256</v>
      </c>
      <c r="E1890" s="602"/>
      <c r="F1890" s="603">
        <v>180</v>
      </c>
      <c r="G1890" s="604">
        <v>1.5307999999999999</v>
      </c>
      <c r="H1890" s="605">
        <f>IF(F1890=0,0,IF(F1890&lt;=30,(0.7*F1890+1.45)*G1890,((0.7*30+1.45)+0.58*(F1890-30))*G1890))</f>
        <v>167.54606000000001</v>
      </c>
      <c r="I1890" s="675">
        <v>0</v>
      </c>
      <c r="J1890" s="675"/>
      <c r="K1890" s="606">
        <f t="shared" si="355"/>
        <v>0</v>
      </c>
      <c r="L1890" s="607"/>
      <c r="M1890" s="614"/>
      <c r="N1890" s="614"/>
      <c r="O1890" s="287">
        <f t="shared" si="336"/>
        <v>0</v>
      </c>
      <c r="P1890" s="287">
        <f t="shared" si="337"/>
        <v>0</v>
      </c>
      <c r="Q1890" s="288"/>
      <c r="R1890" s="315" t="str">
        <f>IF(P150&gt;0,"xy","")</f>
        <v/>
      </c>
      <c r="S1890" s="385" t="str">
        <f t="shared" si="356"/>
        <v/>
      </c>
    </row>
    <row r="1891" spans="2:19" ht="13.5" hidden="1" thickBot="1">
      <c r="B1891" s="609" t="s">
        <v>168</v>
      </c>
      <c r="C1891" s="610"/>
      <c r="D1891" s="611" t="s">
        <v>260</v>
      </c>
      <c r="E1891" s="602"/>
      <c r="F1891" s="603">
        <v>20</v>
      </c>
      <c r="G1891" s="604">
        <v>2.7951000000000001</v>
      </c>
      <c r="H1891" s="605">
        <f>IF(F1891=0,0,IF(F1891&lt;=30,(0.7*F1891+1.45)*G1891,((0.7*30+1.45)+0.58*(F1891-30))*G1891))</f>
        <v>43.184294999999999</v>
      </c>
      <c r="I1891" s="675">
        <v>0</v>
      </c>
      <c r="J1891" s="675"/>
      <c r="K1891" s="606">
        <f t="shared" si="355"/>
        <v>0</v>
      </c>
      <c r="L1891" s="607"/>
      <c r="M1891" s="614"/>
      <c r="N1891" s="614"/>
      <c r="O1891" s="287">
        <f t="shared" si="336"/>
        <v>0</v>
      </c>
      <c r="P1891" s="287">
        <f t="shared" si="337"/>
        <v>0</v>
      </c>
      <c r="Q1891" s="288"/>
      <c r="R1891" s="243"/>
      <c r="S1891" s="385" t="str">
        <f t="shared" si="356"/>
        <v/>
      </c>
    </row>
    <row r="1892" spans="2:19" ht="13.5" hidden="1" thickBot="1">
      <c r="B1892" s="609">
        <v>620400</v>
      </c>
      <c r="C1892" s="610" t="s">
        <v>212</v>
      </c>
      <c r="D1892" s="611" t="s">
        <v>375</v>
      </c>
      <c r="E1892" s="602"/>
      <c r="F1892" s="603"/>
      <c r="G1892" s="604"/>
      <c r="H1892" s="605">
        <f>SUM(H1893:H1895)</f>
        <v>410.67501400000009</v>
      </c>
      <c r="I1892" s="675">
        <v>2839.56</v>
      </c>
      <c r="J1892" s="675">
        <f t="shared" ref="J1892" si="362">IF(ISBLANK(I1892),"",SUM(H1892:I1892))</f>
        <v>3250.2350139999999</v>
      </c>
      <c r="K1892" s="606">
        <f t="shared" si="355"/>
        <v>3944.16</v>
      </c>
      <c r="L1892" s="607" t="s">
        <v>21</v>
      </c>
      <c r="M1892" s="30"/>
      <c r="N1892" s="30"/>
      <c r="O1892" s="287">
        <f t="shared" si="336"/>
        <v>0</v>
      </c>
      <c r="P1892" s="287">
        <f t="shared" si="337"/>
        <v>0</v>
      </c>
      <c r="Q1892" s="288"/>
      <c r="R1892" s="315" t="str">
        <f>IF(P154&gt;0,"xy","")</f>
        <v/>
      </c>
      <c r="S1892" s="385" t="str">
        <f t="shared" si="356"/>
        <v/>
      </c>
    </row>
    <row r="1893" spans="2:19" ht="13.5" hidden="1" thickBot="1">
      <c r="B1893" s="609" t="s">
        <v>168</v>
      </c>
      <c r="C1893" s="610"/>
      <c r="D1893" s="611" t="s">
        <v>218</v>
      </c>
      <c r="E1893" s="602"/>
      <c r="F1893" s="603">
        <v>500</v>
      </c>
      <c r="G1893" s="604">
        <v>0.58130000000000004</v>
      </c>
      <c r="H1893" s="605">
        <f>IF(F1893&lt;=30,(0.51*F1893+4.28)*G1893,((0.51*30+4.28)+0.42*(F1893-30))*G1893)</f>
        <v>126.13047400000002</v>
      </c>
      <c r="I1893" s="675">
        <v>0</v>
      </c>
      <c r="J1893" s="675"/>
      <c r="K1893" s="606">
        <f t="shared" si="355"/>
        <v>0</v>
      </c>
      <c r="L1893" s="607"/>
      <c r="M1893" s="614"/>
      <c r="N1893" s="614"/>
      <c r="O1893" s="287">
        <f t="shared" si="336"/>
        <v>0</v>
      </c>
      <c r="P1893" s="287">
        <f t="shared" si="337"/>
        <v>0</v>
      </c>
      <c r="Q1893" s="288"/>
      <c r="R1893" s="315" t="str">
        <f>IF(P154&gt;0,"xy","")</f>
        <v/>
      </c>
      <c r="S1893" s="385" t="str">
        <f t="shared" si="356"/>
        <v/>
      </c>
    </row>
    <row r="1894" spans="2:19" ht="13.5" hidden="1" thickBot="1">
      <c r="B1894" s="609" t="s">
        <v>168</v>
      </c>
      <c r="C1894" s="610"/>
      <c r="D1894" s="611" t="s">
        <v>256</v>
      </c>
      <c r="E1894" s="602"/>
      <c r="F1894" s="603">
        <v>180</v>
      </c>
      <c r="G1894" s="604">
        <v>2.0670000000000002</v>
      </c>
      <c r="H1894" s="605">
        <f>IF(F1894=0,0,IF(F1894&lt;=30,(0.7*F1894+1.45)*G1894,((0.7*30+1.45)+0.58*(F1894-30))*G1894))</f>
        <v>226.23315000000002</v>
      </c>
      <c r="I1894" s="675">
        <v>0</v>
      </c>
      <c r="J1894" s="675"/>
      <c r="K1894" s="606">
        <f t="shared" si="355"/>
        <v>0</v>
      </c>
      <c r="L1894" s="607"/>
      <c r="M1894" s="614"/>
      <c r="N1894" s="614"/>
      <c r="O1894" s="287">
        <f t="shared" si="336"/>
        <v>0</v>
      </c>
      <c r="P1894" s="287">
        <f t="shared" si="337"/>
        <v>0</v>
      </c>
      <c r="Q1894" s="288"/>
      <c r="R1894" s="315" t="str">
        <f>IF(P154&gt;0,"xy","")</f>
        <v/>
      </c>
      <c r="S1894" s="385" t="str">
        <f t="shared" si="356"/>
        <v/>
      </c>
    </row>
    <row r="1895" spans="2:19" ht="13.5" hidden="1" thickBot="1">
      <c r="B1895" s="609" t="s">
        <v>168</v>
      </c>
      <c r="C1895" s="610"/>
      <c r="D1895" s="611" t="s">
        <v>260</v>
      </c>
      <c r="E1895" s="602"/>
      <c r="F1895" s="603">
        <v>20</v>
      </c>
      <c r="G1895" s="604">
        <v>3.7742</v>
      </c>
      <c r="H1895" s="605">
        <f>IF(F1895=0,0,IF(F1895&lt;=30,(0.7*F1895+1.45)*G1895,((0.7*30+1.45)+0.58*(F1895-30))*G1895))</f>
        <v>58.311389999999996</v>
      </c>
      <c r="I1895" s="675">
        <v>0</v>
      </c>
      <c r="J1895" s="675"/>
      <c r="K1895" s="606">
        <f t="shared" si="355"/>
        <v>0</v>
      </c>
      <c r="L1895" s="607"/>
      <c r="M1895" s="614"/>
      <c r="N1895" s="614"/>
      <c r="O1895" s="287">
        <f t="shared" si="336"/>
        <v>0</v>
      </c>
      <c r="P1895" s="287">
        <f t="shared" si="337"/>
        <v>0</v>
      </c>
      <c r="Q1895" s="288"/>
      <c r="R1895" s="243"/>
      <c r="S1895" s="385" t="str">
        <f t="shared" si="356"/>
        <v/>
      </c>
    </row>
    <row r="1896" spans="2:19" ht="13.5" hidden="1" thickBot="1">
      <c r="B1896" s="609">
        <v>620500</v>
      </c>
      <c r="C1896" s="610" t="s">
        <v>212</v>
      </c>
      <c r="D1896" s="611" t="s">
        <v>376</v>
      </c>
      <c r="E1896" s="602"/>
      <c r="F1896" s="603"/>
      <c r="G1896" s="604"/>
      <c r="H1896" s="605">
        <f>SUM(H1897:H1899)</f>
        <v>824.57700100000011</v>
      </c>
      <c r="I1896" s="675">
        <v>4906</v>
      </c>
      <c r="J1896" s="675">
        <f t="shared" ref="J1896" si="363">IF(ISBLANK(I1896),"",SUM(H1896:I1896))</f>
        <v>5730.5770009999997</v>
      </c>
      <c r="K1896" s="606">
        <f t="shared" si="355"/>
        <v>6954.06</v>
      </c>
      <c r="L1896" s="607" t="s">
        <v>21</v>
      </c>
      <c r="M1896" s="30"/>
      <c r="N1896" s="30"/>
      <c r="O1896" s="287">
        <f t="shared" si="336"/>
        <v>0</v>
      </c>
      <c r="P1896" s="287">
        <f t="shared" si="337"/>
        <v>0</v>
      </c>
      <c r="Q1896" s="288"/>
      <c r="R1896" s="315" t="str">
        <f>IF(P158&gt;0,"xy","")</f>
        <v/>
      </c>
      <c r="S1896" s="385" t="str">
        <f t="shared" si="356"/>
        <v/>
      </c>
    </row>
    <row r="1897" spans="2:19" ht="13.5" hidden="1" thickBot="1">
      <c r="B1897" s="609" t="s">
        <v>168</v>
      </c>
      <c r="C1897" s="610"/>
      <c r="D1897" s="611" t="s">
        <v>218</v>
      </c>
      <c r="E1897" s="602"/>
      <c r="F1897" s="603">
        <v>500</v>
      </c>
      <c r="G1897" s="604">
        <v>1.1672</v>
      </c>
      <c r="H1897" s="605">
        <f>IF(F1897&lt;=30,(0.51*F1897+4.28)*G1897,((0.51*30+4.28)+0.42*(F1897-30))*G1897)</f>
        <v>253.25905600000002</v>
      </c>
      <c r="I1897" s="675">
        <v>0</v>
      </c>
      <c r="J1897" s="675"/>
      <c r="K1897" s="606">
        <f t="shared" si="355"/>
        <v>0</v>
      </c>
      <c r="L1897" s="607"/>
      <c r="M1897" s="614"/>
      <c r="N1897" s="614"/>
      <c r="O1897" s="287">
        <f t="shared" si="336"/>
        <v>0</v>
      </c>
      <c r="P1897" s="287">
        <f t="shared" si="337"/>
        <v>0</v>
      </c>
      <c r="Q1897" s="288"/>
      <c r="R1897" s="315" t="str">
        <f>IF(P158&gt;0,"xy","")</f>
        <v/>
      </c>
      <c r="S1897" s="385" t="str">
        <f t="shared" si="356"/>
        <v/>
      </c>
    </row>
    <row r="1898" spans="2:19" ht="13.5" hidden="1" thickBot="1">
      <c r="B1898" s="609" t="s">
        <v>168</v>
      </c>
      <c r="C1898" s="610"/>
      <c r="D1898" s="611" t="s">
        <v>256</v>
      </c>
      <c r="E1898" s="602"/>
      <c r="F1898" s="603">
        <v>180</v>
      </c>
      <c r="G1898" s="604">
        <v>4.1501999999999999</v>
      </c>
      <c r="H1898" s="605">
        <f>IF(F1898=0,0,IF(F1898&lt;=30,(0.7*F1898+1.45)*G1898,((0.7*30+1.45)+0.58*(F1898-30))*G1898))</f>
        <v>454.23939000000001</v>
      </c>
      <c r="I1898" s="675">
        <v>0</v>
      </c>
      <c r="J1898" s="675"/>
      <c r="K1898" s="606">
        <f t="shared" si="355"/>
        <v>0</v>
      </c>
      <c r="L1898" s="607"/>
      <c r="M1898" s="614"/>
      <c r="N1898" s="614"/>
      <c r="O1898" s="287">
        <f t="shared" si="336"/>
        <v>0</v>
      </c>
      <c r="P1898" s="287">
        <f t="shared" si="337"/>
        <v>0</v>
      </c>
      <c r="Q1898" s="288"/>
      <c r="R1898" s="315" t="str">
        <f>IF(P158&gt;0,"xy","")</f>
        <v/>
      </c>
      <c r="S1898" s="385" t="str">
        <f t="shared" si="356"/>
        <v/>
      </c>
    </row>
    <row r="1899" spans="2:19" ht="13.5" hidden="1" thickBot="1">
      <c r="B1899" s="609" t="s">
        <v>168</v>
      </c>
      <c r="C1899" s="610"/>
      <c r="D1899" s="611" t="s">
        <v>260</v>
      </c>
      <c r="E1899" s="602"/>
      <c r="F1899" s="603">
        <v>20</v>
      </c>
      <c r="G1899" s="604">
        <v>7.5778999999999996</v>
      </c>
      <c r="H1899" s="605">
        <f>IF(F1899=0,0,IF(F1899&lt;=30,(0.7*F1899+1.45)*G1899,((0.7*30+1.45)+0.58*(F1899-30))*G1899))</f>
        <v>117.07855499999999</v>
      </c>
      <c r="I1899" s="675">
        <v>0</v>
      </c>
      <c r="J1899" s="675"/>
      <c r="K1899" s="606">
        <f t="shared" si="355"/>
        <v>0</v>
      </c>
      <c r="L1899" s="607"/>
      <c r="M1899" s="614"/>
      <c r="N1899" s="614"/>
      <c r="O1899" s="287">
        <f t="shared" si="336"/>
        <v>0</v>
      </c>
      <c r="P1899" s="287">
        <f t="shared" si="337"/>
        <v>0</v>
      </c>
      <c r="Q1899" s="288"/>
      <c r="R1899" s="243"/>
      <c r="S1899" s="385" t="str">
        <f t="shared" si="356"/>
        <v/>
      </c>
    </row>
    <row r="1900" spans="2:19" ht="13.5" hidden="1" thickBot="1">
      <c r="B1900" s="609">
        <v>620600</v>
      </c>
      <c r="C1900" s="610" t="s">
        <v>212</v>
      </c>
      <c r="D1900" s="611" t="s">
        <v>377</v>
      </c>
      <c r="E1900" s="602"/>
      <c r="F1900" s="603"/>
      <c r="G1900" s="604"/>
      <c r="H1900" s="605">
        <f>SUM(H1901:H1903)</f>
        <v>1585.2163370000001</v>
      </c>
      <c r="I1900" s="675">
        <v>8533.4000000000015</v>
      </c>
      <c r="J1900" s="675">
        <f t="shared" ref="J1900" si="364">IF(ISBLANK(I1900),"",SUM(H1900:I1900))</f>
        <v>10118.616337000001</v>
      </c>
      <c r="K1900" s="606">
        <f t="shared" si="355"/>
        <v>12278.94</v>
      </c>
      <c r="L1900" s="607" t="s">
        <v>21</v>
      </c>
      <c r="M1900" s="30"/>
      <c r="N1900" s="30"/>
      <c r="O1900" s="287">
        <f t="shared" si="336"/>
        <v>0</v>
      </c>
      <c r="P1900" s="287">
        <f t="shared" si="337"/>
        <v>0</v>
      </c>
      <c r="Q1900" s="288"/>
      <c r="R1900" s="315" t="str">
        <f>IF(P162&gt;0,"xy","")</f>
        <v/>
      </c>
      <c r="S1900" s="385" t="str">
        <f t="shared" si="356"/>
        <v/>
      </c>
    </row>
    <row r="1901" spans="2:19" ht="13.5" hidden="1" thickBot="1">
      <c r="B1901" s="609" t="s">
        <v>168</v>
      </c>
      <c r="C1901" s="610"/>
      <c r="D1901" s="611" t="s">
        <v>218</v>
      </c>
      <c r="E1901" s="602"/>
      <c r="F1901" s="603">
        <v>500</v>
      </c>
      <c r="G1901" s="604">
        <v>2.2439</v>
      </c>
      <c r="H1901" s="605">
        <f>IF(F1901&lt;=30,(0.51*F1901+4.28)*G1901,((0.51*30+4.28)+0.42*(F1901-30))*G1901)</f>
        <v>486.88142200000004</v>
      </c>
      <c r="I1901" s="675">
        <v>0</v>
      </c>
      <c r="J1901" s="675"/>
      <c r="K1901" s="606">
        <f t="shared" si="355"/>
        <v>0</v>
      </c>
      <c r="L1901" s="607"/>
      <c r="M1901" s="614"/>
      <c r="N1901" s="614"/>
      <c r="O1901" s="287">
        <f t="shared" si="336"/>
        <v>0</v>
      </c>
      <c r="P1901" s="287">
        <f t="shared" si="337"/>
        <v>0</v>
      </c>
      <c r="Q1901" s="288"/>
      <c r="R1901" s="315" t="str">
        <f>IF(P162&gt;0,"xy","")</f>
        <v/>
      </c>
      <c r="S1901" s="385" t="str">
        <f t="shared" si="356"/>
        <v/>
      </c>
    </row>
    <row r="1902" spans="2:19" ht="13.5" hidden="1" thickBot="1">
      <c r="B1902" s="609" t="s">
        <v>168</v>
      </c>
      <c r="C1902" s="610"/>
      <c r="D1902" s="611" t="s">
        <v>256</v>
      </c>
      <c r="E1902" s="602"/>
      <c r="F1902" s="603">
        <v>180</v>
      </c>
      <c r="G1902" s="604">
        <v>7.9786000000000001</v>
      </c>
      <c r="H1902" s="605">
        <f>IF(F1902=0,0,IF(F1902&lt;=30,(0.7*F1902+1.45)*G1902,((0.7*30+1.45)+0.58*(F1902-30))*G1902))</f>
        <v>873.25777000000005</v>
      </c>
      <c r="I1902" s="675">
        <v>0</v>
      </c>
      <c r="J1902" s="675"/>
      <c r="K1902" s="606">
        <f t="shared" si="355"/>
        <v>0</v>
      </c>
      <c r="L1902" s="607"/>
      <c r="M1902" s="614"/>
      <c r="N1902" s="614"/>
      <c r="O1902" s="287">
        <f t="shared" si="336"/>
        <v>0</v>
      </c>
      <c r="P1902" s="287">
        <f t="shared" si="337"/>
        <v>0</v>
      </c>
      <c r="Q1902" s="288"/>
      <c r="R1902" s="315" t="str">
        <f>IF(P162&gt;0,"xy","")</f>
        <v/>
      </c>
      <c r="S1902" s="385" t="str">
        <f t="shared" si="356"/>
        <v/>
      </c>
    </row>
    <row r="1903" spans="2:19" ht="13.5" hidden="1" thickBot="1">
      <c r="B1903" s="609" t="s">
        <v>168</v>
      </c>
      <c r="C1903" s="610"/>
      <c r="D1903" s="611" t="s">
        <v>260</v>
      </c>
      <c r="E1903" s="602"/>
      <c r="F1903" s="603">
        <v>20</v>
      </c>
      <c r="G1903" s="604">
        <v>14.568099999999999</v>
      </c>
      <c r="H1903" s="605">
        <f>IF(F1903=0,0,IF(F1903&lt;=30,(0.7*F1903+1.45)*G1903,((0.7*30+1.45)+0.58*(F1903-30))*G1903))</f>
        <v>225.07714499999997</v>
      </c>
      <c r="I1903" s="675">
        <v>0</v>
      </c>
      <c r="J1903" s="675"/>
      <c r="K1903" s="606">
        <f t="shared" si="355"/>
        <v>0</v>
      </c>
      <c r="L1903" s="607"/>
      <c r="M1903" s="614"/>
      <c r="N1903" s="614"/>
      <c r="O1903" s="287">
        <f t="shared" si="336"/>
        <v>0</v>
      </c>
      <c r="P1903" s="287">
        <f t="shared" si="337"/>
        <v>0</v>
      </c>
      <c r="Q1903" s="288"/>
      <c r="R1903" s="243"/>
      <c r="S1903" s="385" t="str">
        <f t="shared" si="356"/>
        <v/>
      </c>
    </row>
    <row r="1904" spans="2:19" ht="13.5" hidden="1" thickBot="1">
      <c r="B1904" s="609" t="s">
        <v>2042</v>
      </c>
      <c r="C1904" s="610" t="s">
        <v>212</v>
      </c>
      <c r="D1904" s="611" t="s">
        <v>378</v>
      </c>
      <c r="E1904" s="602"/>
      <c r="F1904" s="603"/>
      <c r="G1904" s="604"/>
      <c r="H1904" s="605">
        <f>SUM(H1905:H1907)</f>
        <v>202.28954899999999</v>
      </c>
      <c r="I1904" s="675">
        <v>1549.3901939787315</v>
      </c>
      <c r="J1904" s="675">
        <f t="shared" ref="J1904" si="365">IF(ISBLANK(I1904),"",SUM(H1904:I1904))</f>
        <v>1751.6797429787316</v>
      </c>
      <c r="K1904" s="606">
        <f t="shared" si="355"/>
        <v>2125.66</v>
      </c>
      <c r="L1904" s="607" t="s">
        <v>21</v>
      </c>
      <c r="M1904" s="30"/>
      <c r="N1904" s="30"/>
      <c r="O1904" s="287">
        <f t="shared" si="336"/>
        <v>0</v>
      </c>
      <c r="P1904" s="287">
        <f t="shared" si="337"/>
        <v>0</v>
      </c>
      <c r="Q1904" s="288"/>
      <c r="R1904" s="315" t="str">
        <f>IF(P166&gt;0,"xy","")</f>
        <v/>
      </c>
      <c r="S1904" s="385" t="str">
        <f t="shared" si="356"/>
        <v/>
      </c>
    </row>
    <row r="1905" spans="2:19" ht="13.5" hidden="1" thickBot="1">
      <c r="B1905" s="609" t="s">
        <v>168</v>
      </c>
      <c r="C1905" s="610"/>
      <c r="D1905" s="611" t="s">
        <v>218</v>
      </c>
      <c r="E1905" s="602"/>
      <c r="F1905" s="603">
        <v>500</v>
      </c>
      <c r="G1905" s="604">
        <v>0.2863</v>
      </c>
      <c r="H1905" s="605">
        <f>IF(F1905&lt;=30,(0.51*F1905+4.28)*G1905,((0.51*30+4.28)+0.42*(F1905-30))*G1905)</f>
        <v>62.121374000000003</v>
      </c>
      <c r="I1905" s="675">
        <v>0</v>
      </c>
      <c r="J1905" s="675"/>
      <c r="K1905" s="606">
        <f t="shared" si="355"/>
        <v>0</v>
      </c>
      <c r="L1905" s="607"/>
      <c r="M1905" s="614"/>
      <c r="N1905" s="614"/>
      <c r="O1905" s="287">
        <f t="shared" si="336"/>
        <v>0</v>
      </c>
      <c r="P1905" s="287">
        <f t="shared" si="337"/>
        <v>0</v>
      </c>
      <c r="Q1905" s="288"/>
      <c r="R1905" s="315" t="str">
        <f>IF(P166&gt;0,"xy","")</f>
        <v/>
      </c>
      <c r="S1905" s="385" t="str">
        <f t="shared" si="356"/>
        <v/>
      </c>
    </row>
    <row r="1906" spans="2:19" ht="13.5" hidden="1" thickBot="1">
      <c r="B1906" s="609" t="s">
        <v>168</v>
      </c>
      <c r="C1906" s="610"/>
      <c r="D1906" s="611" t="s">
        <v>256</v>
      </c>
      <c r="E1906" s="602"/>
      <c r="F1906" s="603">
        <v>180</v>
      </c>
      <c r="G1906" s="604">
        <v>1.0182</v>
      </c>
      <c r="H1906" s="605">
        <f>IF(F1906=0,0,IF(F1906&lt;=30,(0.7*F1906+1.45)*G1906,((0.7*30+1.45)+0.58*(F1906-30))*G1906))</f>
        <v>111.44199</v>
      </c>
      <c r="I1906" s="675">
        <v>0</v>
      </c>
      <c r="J1906" s="675"/>
      <c r="K1906" s="606">
        <f t="shared" si="355"/>
        <v>0</v>
      </c>
      <c r="L1906" s="607"/>
      <c r="M1906" s="614"/>
      <c r="N1906" s="614"/>
      <c r="O1906" s="287">
        <f t="shared" si="336"/>
        <v>0</v>
      </c>
      <c r="P1906" s="287">
        <f t="shared" si="337"/>
        <v>0</v>
      </c>
      <c r="Q1906" s="288"/>
      <c r="R1906" s="315" t="str">
        <f>IF(P166&gt;0,"xy","")</f>
        <v/>
      </c>
      <c r="S1906" s="385" t="str">
        <f t="shared" si="356"/>
        <v/>
      </c>
    </row>
    <row r="1907" spans="2:19" ht="13.5" hidden="1" thickBot="1">
      <c r="B1907" s="609" t="s">
        <v>168</v>
      </c>
      <c r="C1907" s="610"/>
      <c r="D1907" s="611" t="s">
        <v>260</v>
      </c>
      <c r="E1907" s="602"/>
      <c r="F1907" s="603">
        <v>20</v>
      </c>
      <c r="G1907" s="604">
        <v>1.8593</v>
      </c>
      <c r="H1907" s="605">
        <f>IF(F1907=0,0,IF(F1907&lt;=30,(0.7*F1907+1.45)*G1907,((0.7*30+1.45)+0.58*(F1907-30))*G1907))</f>
        <v>28.726184999999997</v>
      </c>
      <c r="I1907" s="675">
        <v>0</v>
      </c>
      <c r="J1907" s="675"/>
      <c r="K1907" s="606">
        <f t="shared" si="355"/>
        <v>0</v>
      </c>
      <c r="L1907" s="607"/>
      <c r="M1907" s="614"/>
      <c r="N1907" s="614"/>
      <c r="O1907" s="287">
        <f t="shared" si="336"/>
        <v>0</v>
      </c>
      <c r="P1907" s="287">
        <f t="shared" si="337"/>
        <v>0</v>
      </c>
      <c r="Q1907" s="288"/>
      <c r="R1907" s="243"/>
      <c r="S1907" s="385" t="str">
        <f t="shared" si="356"/>
        <v/>
      </c>
    </row>
    <row r="1908" spans="2:19" ht="13.5" hidden="1" thickBot="1">
      <c r="B1908" s="609" t="s">
        <v>2045</v>
      </c>
      <c r="C1908" s="610" t="s">
        <v>212</v>
      </c>
      <c r="D1908" s="611" t="s">
        <v>379</v>
      </c>
      <c r="E1908" s="602"/>
      <c r="F1908" s="603"/>
      <c r="G1908" s="604"/>
      <c r="H1908" s="605">
        <f>SUM(H1909:H1911)</f>
        <v>293.342939</v>
      </c>
      <c r="I1908" s="675">
        <v>2171.8384791942863</v>
      </c>
      <c r="J1908" s="675">
        <f t="shared" ref="J1908" si="366">IF(ISBLANK(I1908),"",SUM(H1908:I1908))</f>
        <v>2465.1814181942864</v>
      </c>
      <c r="K1908" s="606">
        <f t="shared" si="355"/>
        <v>2991.5</v>
      </c>
      <c r="L1908" s="607" t="s">
        <v>21</v>
      </c>
      <c r="M1908" s="30"/>
      <c r="N1908" s="30"/>
      <c r="O1908" s="287">
        <f t="shared" si="336"/>
        <v>0</v>
      </c>
      <c r="P1908" s="287">
        <f t="shared" si="337"/>
        <v>0</v>
      </c>
      <c r="Q1908" s="288"/>
      <c r="R1908" s="315" t="str">
        <f>IF(P170&gt;0,"xy","")</f>
        <v/>
      </c>
      <c r="S1908" s="385" t="str">
        <f t="shared" si="356"/>
        <v/>
      </c>
    </row>
    <row r="1909" spans="2:19" ht="13.5" hidden="1" thickBot="1">
      <c r="B1909" s="609" t="s">
        <v>168</v>
      </c>
      <c r="C1909" s="610"/>
      <c r="D1909" s="611" t="s">
        <v>218</v>
      </c>
      <c r="E1909" s="602"/>
      <c r="F1909" s="603">
        <v>500</v>
      </c>
      <c r="G1909" s="604">
        <v>0.4153</v>
      </c>
      <c r="H1909" s="605">
        <f>IF(F1909&lt;=30,(0.51*F1909+4.28)*G1909,((0.51*30+4.28)+0.42*(F1909-30))*G1909)</f>
        <v>90.111794000000003</v>
      </c>
      <c r="I1909" s="675">
        <v>0</v>
      </c>
      <c r="J1909" s="675"/>
      <c r="K1909" s="606">
        <f t="shared" si="355"/>
        <v>0</v>
      </c>
      <c r="L1909" s="607"/>
      <c r="M1909" s="614"/>
      <c r="N1909" s="614"/>
      <c r="O1909" s="287">
        <f t="shared" si="336"/>
        <v>0</v>
      </c>
      <c r="P1909" s="287">
        <f t="shared" si="337"/>
        <v>0</v>
      </c>
      <c r="Q1909" s="288"/>
      <c r="R1909" s="315" t="str">
        <f>IF(P170&gt;0,"xy","")</f>
        <v/>
      </c>
      <c r="S1909" s="385" t="str">
        <f t="shared" si="356"/>
        <v/>
      </c>
    </row>
    <row r="1910" spans="2:19" ht="13.5" hidden="1" thickBot="1">
      <c r="B1910" s="609" t="s">
        <v>168</v>
      </c>
      <c r="C1910" s="610"/>
      <c r="D1910" s="611" t="s">
        <v>256</v>
      </c>
      <c r="E1910" s="602"/>
      <c r="F1910" s="603">
        <v>180</v>
      </c>
      <c r="G1910" s="604">
        <v>1.4762999999999999</v>
      </c>
      <c r="H1910" s="605">
        <f>IF(F1910=0,0,IF(F1910&lt;=30,(0.7*F1910+1.45)*G1910,((0.7*30+1.45)+0.58*(F1910-30))*G1910))</f>
        <v>161.58103499999999</v>
      </c>
      <c r="I1910" s="675">
        <v>0</v>
      </c>
      <c r="J1910" s="675"/>
      <c r="K1910" s="606">
        <f t="shared" si="355"/>
        <v>0</v>
      </c>
      <c r="L1910" s="607"/>
      <c r="M1910" s="614"/>
      <c r="N1910" s="614"/>
      <c r="O1910" s="287">
        <f t="shared" si="336"/>
        <v>0</v>
      </c>
      <c r="P1910" s="287">
        <f t="shared" si="337"/>
        <v>0</v>
      </c>
      <c r="Q1910" s="288"/>
      <c r="R1910" s="315" t="str">
        <f>IF(P170&gt;0,"xy","")</f>
        <v/>
      </c>
      <c r="S1910" s="385" t="str">
        <f t="shared" si="356"/>
        <v/>
      </c>
    </row>
    <row r="1911" spans="2:19" ht="13.5" hidden="1" thickBot="1">
      <c r="B1911" s="609" t="s">
        <v>168</v>
      </c>
      <c r="C1911" s="610"/>
      <c r="D1911" s="611" t="s">
        <v>260</v>
      </c>
      <c r="E1911" s="602"/>
      <c r="F1911" s="603">
        <v>20</v>
      </c>
      <c r="G1911" s="604">
        <v>2.6958000000000002</v>
      </c>
      <c r="H1911" s="605">
        <f>IF(F1911=0,0,IF(F1911&lt;=30,(0.7*F1911+1.45)*G1911,((0.7*30+1.45)+0.58*(F1911-30))*G1911))</f>
        <v>41.650109999999998</v>
      </c>
      <c r="I1911" s="675">
        <v>0</v>
      </c>
      <c r="J1911" s="675"/>
      <c r="K1911" s="606">
        <f t="shared" si="355"/>
        <v>0</v>
      </c>
      <c r="L1911" s="607"/>
      <c r="M1911" s="614"/>
      <c r="N1911" s="614"/>
      <c r="O1911" s="287">
        <f t="shared" si="336"/>
        <v>0</v>
      </c>
      <c r="P1911" s="287">
        <f t="shared" si="337"/>
        <v>0</v>
      </c>
      <c r="Q1911" s="288"/>
      <c r="R1911" s="243"/>
      <c r="S1911" s="385" t="str">
        <f t="shared" si="356"/>
        <v/>
      </c>
    </row>
    <row r="1912" spans="2:19" ht="13.5" hidden="1" thickBot="1">
      <c r="B1912" s="609">
        <v>620700</v>
      </c>
      <c r="C1912" s="610" t="s">
        <v>212</v>
      </c>
      <c r="D1912" s="611" t="s">
        <v>380</v>
      </c>
      <c r="E1912" s="602"/>
      <c r="F1912" s="603"/>
      <c r="G1912" s="604"/>
      <c r="H1912" s="605">
        <f>SUM(H1913:H1915)</f>
        <v>440.18659800000006</v>
      </c>
      <c r="I1912" s="675">
        <v>3059.9100000000003</v>
      </c>
      <c r="J1912" s="675">
        <f t="shared" ref="J1912" si="367">IF(ISBLANK(I1912),"",SUM(H1912:I1912))</f>
        <v>3500.0965980000005</v>
      </c>
      <c r="K1912" s="606">
        <f t="shared" si="355"/>
        <v>4247.37</v>
      </c>
      <c r="L1912" s="607" t="s">
        <v>21</v>
      </c>
      <c r="M1912" s="30"/>
      <c r="N1912" s="30"/>
      <c r="O1912" s="287">
        <f t="shared" si="336"/>
        <v>0</v>
      </c>
      <c r="P1912" s="287">
        <f t="shared" si="337"/>
        <v>0</v>
      </c>
      <c r="Q1912" s="288"/>
      <c r="R1912" s="315" t="str">
        <f>IF(P174&gt;0,"xy","")</f>
        <v/>
      </c>
      <c r="S1912" s="385" t="str">
        <f t="shared" si="356"/>
        <v/>
      </c>
    </row>
    <row r="1913" spans="2:19" ht="13.5" hidden="1" thickBot="1">
      <c r="B1913" s="609" t="s">
        <v>168</v>
      </c>
      <c r="C1913" s="610"/>
      <c r="D1913" s="611" t="s">
        <v>218</v>
      </c>
      <c r="E1913" s="602"/>
      <c r="F1913" s="603">
        <v>500</v>
      </c>
      <c r="G1913" s="604" t="s">
        <v>97</v>
      </c>
      <c r="H1913" s="605">
        <f>IF(F1913&lt;=30,(0.51*F1913+4.28)*G1913,((0.51*30+4.28)+0.42*(F1913-30))*G1913)</f>
        <v>135.20023800000001</v>
      </c>
      <c r="I1913" s="675">
        <v>0</v>
      </c>
      <c r="J1913" s="675"/>
      <c r="K1913" s="606">
        <f t="shared" si="355"/>
        <v>0</v>
      </c>
      <c r="L1913" s="607"/>
      <c r="M1913" s="614"/>
      <c r="N1913" s="614"/>
      <c r="O1913" s="287">
        <f t="shared" si="336"/>
        <v>0</v>
      </c>
      <c r="P1913" s="287">
        <f t="shared" si="337"/>
        <v>0</v>
      </c>
      <c r="Q1913" s="288"/>
      <c r="R1913" s="315" t="str">
        <f>IF(P174&gt;0,"xy","")</f>
        <v/>
      </c>
      <c r="S1913" s="385" t="str">
        <f t="shared" si="356"/>
        <v/>
      </c>
    </row>
    <row r="1914" spans="2:19" ht="13.5" hidden="1" thickBot="1">
      <c r="B1914" s="609" t="s">
        <v>168</v>
      </c>
      <c r="C1914" s="610"/>
      <c r="D1914" s="611" t="s">
        <v>256</v>
      </c>
      <c r="E1914" s="602"/>
      <c r="F1914" s="603">
        <v>180</v>
      </c>
      <c r="G1914" s="604" t="s">
        <v>98</v>
      </c>
      <c r="H1914" s="605">
        <f>IF(F1914=0,0,IF(F1914&lt;=30,(0.7*F1914+1.45)*G1914,((0.7*30+1.45)+0.58*(F1914-30))*G1914))</f>
        <v>242.48647500000001</v>
      </c>
      <c r="I1914" s="675">
        <v>0</v>
      </c>
      <c r="J1914" s="675"/>
      <c r="K1914" s="606">
        <f t="shared" si="355"/>
        <v>0</v>
      </c>
      <c r="L1914" s="607"/>
      <c r="M1914" s="614"/>
      <c r="N1914" s="614"/>
      <c r="O1914" s="287">
        <f t="shared" si="336"/>
        <v>0</v>
      </c>
      <c r="P1914" s="287">
        <f t="shared" si="337"/>
        <v>0</v>
      </c>
      <c r="Q1914" s="288"/>
      <c r="R1914" s="315" t="str">
        <f>IF(P174&gt;0,"xy","")</f>
        <v/>
      </c>
      <c r="S1914" s="385" t="str">
        <f t="shared" si="356"/>
        <v/>
      </c>
    </row>
    <row r="1915" spans="2:19" ht="13.5" hidden="1" thickBot="1">
      <c r="B1915" s="609" t="s">
        <v>168</v>
      </c>
      <c r="C1915" s="610"/>
      <c r="D1915" s="611" t="s">
        <v>260</v>
      </c>
      <c r="E1915" s="602"/>
      <c r="F1915" s="603">
        <v>20</v>
      </c>
      <c r="G1915" s="604">
        <v>4.0453000000000001</v>
      </c>
      <c r="H1915" s="605">
        <f>IF(F1915=0,0,IF(F1915&lt;=30,(0.7*F1915+1.45)*G1915,((0.7*30+1.45)+0.58*(F1915-30))*G1915))</f>
        <v>62.499884999999999</v>
      </c>
      <c r="I1915" s="675">
        <v>0</v>
      </c>
      <c r="J1915" s="675"/>
      <c r="K1915" s="606">
        <f t="shared" si="355"/>
        <v>0</v>
      </c>
      <c r="L1915" s="607"/>
      <c r="M1915" s="614"/>
      <c r="N1915" s="614"/>
      <c r="O1915" s="287">
        <f t="shared" si="336"/>
        <v>0</v>
      </c>
      <c r="P1915" s="287">
        <f t="shared" si="337"/>
        <v>0</v>
      </c>
      <c r="Q1915" s="288"/>
      <c r="R1915" s="243"/>
      <c r="S1915" s="385" t="str">
        <f t="shared" si="356"/>
        <v/>
      </c>
    </row>
    <row r="1916" spans="2:19" ht="13.5" hidden="1" thickBot="1">
      <c r="B1916" s="609">
        <v>620800</v>
      </c>
      <c r="C1916" s="610" t="s">
        <v>212</v>
      </c>
      <c r="D1916" s="611" t="s">
        <v>381</v>
      </c>
      <c r="E1916" s="602"/>
      <c r="F1916" s="603"/>
      <c r="G1916" s="604"/>
      <c r="H1916" s="605">
        <f>SUM(H1917:H1919)</f>
        <v>578.78751399999999</v>
      </c>
      <c r="I1916" s="675">
        <v>3886.02</v>
      </c>
      <c r="J1916" s="675">
        <f t="shared" ref="J1916" si="368">IF(ISBLANK(I1916),"",SUM(H1916:I1916))</f>
        <v>4464.8075140000001</v>
      </c>
      <c r="K1916" s="606">
        <f t="shared" si="355"/>
        <v>5418.04</v>
      </c>
      <c r="L1916" s="607" t="s">
        <v>21</v>
      </c>
      <c r="M1916" s="30"/>
      <c r="N1916" s="30"/>
      <c r="O1916" s="287">
        <f t="shared" si="336"/>
        <v>0</v>
      </c>
      <c r="P1916" s="287">
        <f t="shared" si="337"/>
        <v>0</v>
      </c>
      <c r="Q1916" s="288"/>
      <c r="R1916" s="315" t="str">
        <f>IF(P178&gt;0,"xy","")</f>
        <v/>
      </c>
      <c r="S1916" s="385" t="str">
        <f t="shared" si="356"/>
        <v/>
      </c>
    </row>
    <row r="1917" spans="2:19" ht="13.5" hidden="1" thickBot="1">
      <c r="B1917" s="609" t="s">
        <v>168</v>
      </c>
      <c r="C1917" s="610"/>
      <c r="D1917" s="611" t="s">
        <v>218</v>
      </c>
      <c r="E1917" s="602"/>
      <c r="F1917" s="603">
        <v>500</v>
      </c>
      <c r="G1917" s="604">
        <v>0.81930000000000003</v>
      </c>
      <c r="H1917" s="605">
        <f>IF(F1917&lt;=30,(0.51*F1917+4.28)*G1917,((0.51*30+4.28)+0.42*(F1917-30))*G1917)</f>
        <v>177.77171400000003</v>
      </c>
      <c r="I1917" s="675">
        <v>0</v>
      </c>
      <c r="J1917" s="675"/>
      <c r="K1917" s="606">
        <f t="shared" si="355"/>
        <v>0</v>
      </c>
      <c r="L1917" s="607"/>
      <c r="M1917" s="614"/>
      <c r="N1917" s="614"/>
      <c r="O1917" s="287">
        <f t="shared" si="336"/>
        <v>0</v>
      </c>
      <c r="P1917" s="287">
        <f t="shared" si="337"/>
        <v>0</v>
      </c>
      <c r="Q1917" s="288"/>
      <c r="R1917" s="315" t="str">
        <f>IF(P178&gt;0,"xy","")</f>
        <v/>
      </c>
      <c r="S1917" s="385" t="str">
        <f t="shared" si="356"/>
        <v/>
      </c>
    </row>
    <row r="1918" spans="2:19" ht="13.5" hidden="1" thickBot="1">
      <c r="B1918" s="609" t="s">
        <v>168</v>
      </c>
      <c r="C1918" s="610"/>
      <c r="D1918" s="611" t="s">
        <v>256</v>
      </c>
      <c r="E1918" s="602"/>
      <c r="F1918" s="603">
        <v>180</v>
      </c>
      <c r="G1918" s="604">
        <v>2.9131</v>
      </c>
      <c r="H1918" s="605">
        <f>IF(F1918=0,0,IF(F1918&lt;=30,(0.7*F1918+1.45)*G1918,((0.7*30+1.45)+0.58*(F1918-30))*G1918))</f>
        <v>318.838795</v>
      </c>
      <c r="I1918" s="675">
        <v>0</v>
      </c>
      <c r="J1918" s="675"/>
      <c r="K1918" s="606">
        <f t="shared" si="355"/>
        <v>0</v>
      </c>
      <c r="L1918" s="607"/>
      <c r="M1918" s="614"/>
      <c r="N1918" s="614"/>
      <c r="O1918" s="287">
        <f t="shared" si="336"/>
        <v>0</v>
      </c>
      <c r="P1918" s="287">
        <f t="shared" si="337"/>
        <v>0</v>
      </c>
      <c r="Q1918" s="288"/>
      <c r="R1918" s="315" t="str">
        <f>IF(P178&gt;0,"xy","")</f>
        <v/>
      </c>
      <c r="S1918" s="385" t="str">
        <f t="shared" si="356"/>
        <v/>
      </c>
    </row>
    <row r="1919" spans="2:19" ht="13.5" hidden="1" thickBot="1">
      <c r="B1919" s="609" t="s">
        <v>168</v>
      </c>
      <c r="C1919" s="610"/>
      <c r="D1919" s="611" t="s">
        <v>260</v>
      </c>
      <c r="E1919" s="602"/>
      <c r="F1919" s="603">
        <v>20</v>
      </c>
      <c r="G1919" s="604">
        <v>5.3189000000000002</v>
      </c>
      <c r="H1919" s="605">
        <f>IF(F1919=0,0,IF(F1919&lt;=30,(0.7*F1919+1.45)*G1919,((0.7*30+1.45)+0.58*(F1919-30))*G1919))</f>
        <v>82.177004999999994</v>
      </c>
      <c r="I1919" s="675">
        <v>0</v>
      </c>
      <c r="J1919" s="675"/>
      <c r="K1919" s="606">
        <f t="shared" si="355"/>
        <v>0</v>
      </c>
      <c r="L1919" s="607"/>
      <c r="M1919" s="614"/>
      <c r="N1919" s="614"/>
      <c r="O1919" s="287">
        <f t="shared" si="336"/>
        <v>0</v>
      </c>
      <c r="P1919" s="287">
        <f t="shared" si="337"/>
        <v>0</v>
      </c>
      <c r="Q1919" s="288"/>
      <c r="R1919" s="243"/>
      <c r="S1919" s="385" t="str">
        <f t="shared" si="356"/>
        <v/>
      </c>
    </row>
    <row r="1920" spans="2:19" ht="13.5" hidden="1" thickBot="1">
      <c r="B1920" s="609">
        <v>620900</v>
      </c>
      <c r="C1920" s="610" t="s">
        <v>212</v>
      </c>
      <c r="D1920" s="611" t="s">
        <v>382</v>
      </c>
      <c r="E1920" s="602"/>
      <c r="F1920" s="603"/>
      <c r="G1920" s="604"/>
      <c r="H1920" s="605">
        <f>SUM(H1921:H1923)</f>
        <v>1137.679077</v>
      </c>
      <c r="I1920" s="675">
        <v>6583.16</v>
      </c>
      <c r="J1920" s="675">
        <f t="shared" ref="J1920" si="369">IF(ISBLANK(I1920),"",SUM(H1920:I1920))</f>
        <v>7720.8390769999996</v>
      </c>
      <c r="K1920" s="606">
        <f t="shared" si="355"/>
        <v>9369.24</v>
      </c>
      <c r="L1920" s="607" t="s">
        <v>21</v>
      </c>
      <c r="M1920" s="30"/>
      <c r="N1920" s="30"/>
      <c r="O1920" s="287">
        <f t="shared" si="336"/>
        <v>0</v>
      </c>
      <c r="P1920" s="287">
        <f t="shared" si="337"/>
        <v>0</v>
      </c>
      <c r="Q1920" s="288"/>
      <c r="R1920" s="315" t="str">
        <f>IF(P138&gt;0,"xy","")</f>
        <v/>
      </c>
      <c r="S1920" s="385" t="str">
        <f t="shared" si="356"/>
        <v/>
      </c>
    </row>
    <row r="1921" spans="2:19" ht="13.5" hidden="1" thickBot="1">
      <c r="B1921" s="609" t="s">
        <v>168</v>
      </c>
      <c r="C1921" s="610"/>
      <c r="D1921" s="611" t="s">
        <v>218</v>
      </c>
      <c r="E1921" s="602"/>
      <c r="F1921" s="603">
        <v>500</v>
      </c>
      <c r="G1921" s="604">
        <v>1.6104000000000001</v>
      </c>
      <c r="H1921" s="605">
        <f>IF(F1921&lt;=30,(0.51*F1921+4.28)*G1921,((0.51*30+4.28)+0.42*(F1921-30))*G1921)</f>
        <v>349.42459200000002</v>
      </c>
      <c r="I1921" s="675">
        <v>0</v>
      </c>
      <c r="J1921" s="675"/>
      <c r="K1921" s="606">
        <f t="shared" si="355"/>
        <v>0</v>
      </c>
      <c r="L1921" s="607"/>
      <c r="M1921" s="614"/>
      <c r="N1921" s="614"/>
      <c r="O1921" s="287">
        <f t="shared" si="336"/>
        <v>0</v>
      </c>
      <c r="P1921" s="287">
        <f t="shared" si="337"/>
        <v>0</v>
      </c>
      <c r="Q1921" s="288"/>
      <c r="R1921" s="315" t="str">
        <f>IF(P138&gt;0,"xy","")</f>
        <v/>
      </c>
      <c r="S1921" s="385" t="str">
        <f t="shared" si="356"/>
        <v/>
      </c>
    </row>
    <row r="1922" spans="2:19" ht="13.5" hidden="1" thickBot="1">
      <c r="B1922" s="609" t="s">
        <v>168</v>
      </c>
      <c r="C1922" s="610"/>
      <c r="D1922" s="611" t="s">
        <v>256</v>
      </c>
      <c r="E1922" s="602"/>
      <c r="F1922" s="603">
        <v>180</v>
      </c>
      <c r="G1922" s="604">
        <v>5.7260999999999997</v>
      </c>
      <c r="H1922" s="605">
        <f>IF(F1922=0,0,IF(F1922&lt;=30,(0.7*F1922+1.45)*G1922,((0.7*30+1.45)+0.58*(F1922-30))*G1922))</f>
        <v>626.72164499999997</v>
      </c>
      <c r="I1922" s="675">
        <v>0</v>
      </c>
      <c r="J1922" s="675"/>
      <c r="K1922" s="606">
        <f t="shared" si="355"/>
        <v>0</v>
      </c>
      <c r="L1922" s="607"/>
      <c r="M1922" s="614"/>
      <c r="N1922" s="614"/>
      <c r="O1922" s="287">
        <f t="shared" si="336"/>
        <v>0</v>
      </c>
      <c r="P1922" s="287">
        <f t="shared" si="337"/>
        <v>0</v>
      </c>
      <c r="Q1922" s="288"/>
      <c r="R1922" s="315" t="str">
        <f>IF(P138&gt;0,"xy","")</f>
        <v/>
      </c>
      <c r="S1922" s="385" t="str">
        <f t="shared" si="356"/>
        <v/>
      </c>
    </row>
    <row r="1923" spans="2:19" ht="13.5" hidden="1" thickBot="1">
      <c r="B1923" s="609" t="s">
        <v>168</v>
      </c>
      <c r="C1923" s="610"/>
      <c r="D1923" s="611" t="s">
        <v>260</v>
      </c>
      <c r="E1923" s="602"/>
      <c r="F1923" s="603">
        <v>20</v>
      </c>
      <c r="G1923" s="604">
        <v>10.4552</v>
      </c>
      <c r="H1923" s="605">
        <f>IF(F1923=0,0,IF(F1923&lt;=30,(0.7*F1923+1.45)*G1923,((0.7*30+1.45)+0.58*(F1923-30))*G1923))</f>
        <v>161.53283999999999</v>
      </c>
      <c r="I1923" s="675">
        <v>0</v>
      </c>
      <c r="J1923" s="675"/>
      <c r="K1923" s="606">
        <f t="shared" si="355"/>
        <v>0</v>
      </c>
      <c r="L1923" s="607"/>
      <c r="M1923" s="614"/>
      <c r="N1923" s="614"/>
      <c r="O1923" s="287">
        <f t="shared" si="336"/>
        <v>0</v>
      </c>
      <c r="P1923" s="287">
        <f t="shared" si="337"/>
        <v>0</v>
      </c>
      <c r="Q1923" s="288"/>
      <c r="R1923" s="243"/>
      <c r="S1923" s="385" t="str">
        <f t="shared" si="356"/>
        <v/>
      </c>
    </row>
    <row r="1924" spans="2:19" ht="13.5" hidden="1" thickBot="1">
      <c r="B1924" s="609">
        <v>621000</v>
      </c>
      <c r="C1924" s="610" t="s">
        <v>212</v>
      </c>
      <c r="D1924" s="611" t="s">
        <v>383</v>
      </c>
      <c r="E1924" s="602"/>
      <c r="F1924" s="603"/>
      <c r="G1924" s="604"/>
      <c r="H1924" s="605">
        <f>SUM(H1925:H1927)</f>
        <v>2176.56781</v>
      </c>
      <c r="I1924" s="675">
        <v>11375.210000000001</v>
      </c>
      <c r="J1924" s="675">
        <f t="shared" ref="J1924" si="370">IF(ISBLANK(I1924),"",SUM(H1924:I1924))</f>
        <v>13551.777810000001</v>
      </c>
      <c r="K1924" s="606">
        <f t="shared" si="355"/>
        <v>16445.080000000002</v>
      </c>
      <c r="L1924" s="607" t="s">
        <v>21</v>
      </c>
      <c r="M1924" s="30"/>
      <c r="N1924" s="30"/>
      <c r="O1924" s="287">
        <f t="shared" si="336"/>
        <v>0</v>
      </c>
      <c r="P1924" s="287">
        <f t="shared" si="337"/>
        <v>0</v>
      </c>
      <c r="Q1924" s="288"/>
      <c r="R1924" s="315" t="str">
        <f>IF(P138&gt;0,"xy","")</f>
        <v/>
      </c>
      <c r="S1924" s="385" t="str">
        <f t="shared" si="356"/>
        <v/>
      </c>
    </row>
    <row r="1925" spans="2:19" ht="13.5" hidden="1" thickBot="1">
      <c r="B1925" s="609" t="s">
        <v>168</v>
      </c>
      <c r="C1925" s="610"/>
      <c r="D1925" s="611" t="s">
        <v>218</v>
      </c>
      <c r="E1925" s="602"/>
      <c r="F1925" s="603">
        <v>500</v>
      </c>
      <c r="G1925" s="604">
        <v>3.081</v>
      </c>
      <c r="H1925" s="605">
        <f>IF(F1925&lt;=30,(0.51*F1925+4.28)*G1925,((0.51*30+4.28)+0.42*(F1925-30))*G1925)</f>
        <v>668.51538000000005</v>
      </c>
      <c r="I1925" s="675">
        <v>0</v>
      </c>
      <c r="J1925" s="675"/>
      <c r="K1925" s="606">
        <f t="shared" si="355"/>
        <v>0</v>
      </c>
      <c r="L1925" s="607"/>
      <c r="M1925" s="614"/>
      <c r="N1925" s="614"/>
      <c r="O1925" s="287">
        <f t="shared" si="336"/>
        <v>0</v>
      </c>
      <c r="P1925" s="287">
        <f t="shared" si="337"/>
        <v>0</v>
      </c>
      <c r="Q1925" s="288"/>
      <c r="R1925" s="315" t="str">
        <f>IF(P138&gt;0,"xy","")</f>
        <v/>
      </c>
      <c r="S1925" s="385" t="str">
        <f t="shared" si="356"/>
        <v/>
      </c>
    </row>
    <row r="1926" spans="2:19" ht="13.5" hidden="1" thickBot="1">
      <c r="B1926" s="609" t="s">
        <v>168</v>
      </c>
      <c r="C1926" s="610"/>
      <c r="D1926" s="611" t="s">
        <v>256</v>
      </c>
      <c r="E1926" s="602"/>
      <c r="F1926" s="603">
        <v>180</v>
      </c>
      <c r="G1926" s="604">
        <v>10.9549</v>
      </c>
      <c r="H1926" s="605">
        <f>IF(F1926=0,0,IF(F1926&lt;=30,(0.7*F1926+1.45)*G1926,((0.7*30+1.45)+0.58*(F1926-30))*G1926))</f>
        <v>1199.013805</v>
      </c>
      <c r="I1926" s="675">
        <v>0</v>
      </c>
      <c r="J1926" s="675"/>
      <c r="K1926" s="606">
        <f t="shared" si="355"/>
        <v>0</v>
      </c>
      <c r="L1926" s="607"/>
      <c r="M1926" s="614"/>
      <c r="N1926" s="614"/>
      <c r="O1926" s="287">
        <f t="shared" si="336"/>
        <v>0</v>
      </c>
      <c r="P1926" s="287">
        <f t="shared" si="337"/>
        <v>0</v>
      </c>
      <c r="Q1926" s="288"/>
      <c r="R1926" s="315" t="str">
        <f>IF(P138&gt;0,"xy","")</f>
        <v/>
      </c>
      <c r="S1926" s="385" t="str">
        <f t="shared" si="356"/>
        <v/>
      </c>
    </row>
    <row r="1927" spans="2:19" ht="13.5" hidden="1" thickBot="1">
      <c r="B1927" s="609" t="s">
        <v>168</v>
      </c>
      <c r="C1927" s="610"/>
      <c r="D1927" s="611" t="s">
        <v>260</v>
      </c>
      <c r="E1927" s="602"/>
      <c r="F1927" s="603">
        <v>20</v>
      </c>
      <c r="G1927" s="604">
        <v>20.002500000000001</v>
      </c>
      <c r="H1927" s="605">
        <f>IF(F1927=0,0,IF(F1927&lt;=30,(0.7*F1927+1.45)*G1927,((0.7*30+1.45)+0.58*(F1927-30))*G1927))</f>
        <v>309.03862500000002</v>
      </c>
      <c r="I1927" s="675">
        <v>0</v>
      </c>
      <c r="J1927" s="675"/>
      <c r="K1927" s="606">
        <f t="shared" si="355"/>
        <v>0</v>
      </c>
      <c r="L1927" s="607"/>
      <c r="M1927" s="614"/>
      <c r="N1927" s="614"/>
      <c r="O1927" s="287">
        <f t="shared" si="336"/>
        <v>0</v>
      </c>
      <c r="P1927" s="287">
        <f t="shared" si="337"/>
        <v>0</v>
      </c>
      <c r="Q1927" s="288"/>
      <c r="R1927" s="243"/>
      <c r="S1927" s="385" t="str">
        <f t="shared" si="356"/>
        <v/>
      </c>
    </row>
    <row r="1928" spans="2:19" ht="13.5" hidden="1" thickBot="1">
      <c r="B1928" s="609" t="s">
        <v>2043</v>
      </c>
      <c r="C1928" s="610" t="s">
        <v>212</v>
      </c>
      <c r="D1928" s="611" t="s">
        <v>384</v>
      </c>
      <c r="E1928" s="602"/>
      <c r="F1928" s="603"/>
      <c r="G1928" s="604"/>
      <c r="H1928" s="605">
        <f>SUM(H1929:H1931)</f>
        <v>264.82625400000001</v>
      </c>
      <c r="I1928" s="675">
        <v>1965.5025771487717</v>
      </c>
      <c r="J1928" s="675">
        <f t="shared" ref="J1928" si="371">IF(ISBLANK(I1928),"",SUM(H1928:I1928))</f>
        <v>2230.3288311487718</v>
      </c>
      <c r="K1928" s="606">
        <f t="shared" si="355"/>
        <v>2706.5</v>
      </c>
      <c r="L1928" s="607" t="s">
        <v>21</v>
      </c>
      <c r="M1928" s="30"/>
      <c r="N1928" s="30"/>
      <c r="O1928" s="287">
        <f t="shared" si="336"/>
        <v>0</v>
      </c>
      <c r="P1928" s="287">
        <f t="shared" si="337"/>
        <v>0</v>
      </c>
      <c r="Q1928" s="288"/>
      <c r="R1928" s="315" t="str">
        <f>IF(P138&gt;0,"xy","")</f>
        <v/>
      </c>
      <c r="S1928" s="385" t="str">
        <f t="shared" ref="S1928:S1991" si="372">IF(R1928="x","x",IF(R1928="y","x",IF(R1928="xy","x",IF(P1928&gt;0,"x",""))))</f>
        <v/>
      </c>
    </row>
    <row r="1929" spans="2:19" ht="13.5" hidden="1" thickBot="1">
      <c r="B1929" s="609" t="s">
        <v>168</v>
      </c>
      <c r="C1929" s="610"/>
      <c r="D1929" s="611" t="s">
        <v>218</v>
      </c>
      <c r="E1929" s="602"/>
      <c r="F1929" s="603">
        <v>500</v>
      </c>
      <c r="G1929" s="604">
        <v>0.37480000000000002</v>
      </c>
      <c r="H1929" s="605">
        <f>IF(F1929&lt;=30,(0.51*F1929+4.28)*G1929,((0.51*30+4.28)+0.42*(F1929-30))*G1929)</f>
        <v>81.324104000000005</v>
      </c>
      <c r="I1929" s="675">
        <v>0</v>
      </c>
      <c r="J1929" s="675"/>
      <c r="K1929" s="606">
        <f t="shared" si="355"/>
        <v>0</v>
      </c>
      <c r="L1929" s="607"/>
      <c r="M1929" s="614"/>
      <c r="N1929" s="614"/>
      <c r="O1929" s="287">
        <f t="shared" si="336"/>
        <v>0</v>
      </c>
      <c r="P1929" s="287">
        <f t="shared" si="337"/>
        <v>0</v>
      </c>
      <c r="Q1929" s="288"/>
      <c r="R1929" s="315" t="str">
        <f>IF(P138&gt;0,"xy","")</f>
        <v/>
      </c>
      <c r="S1929" s="385" t="str">
        <f t="shared" si="372"/>
        <v/>
      </c>
    </row>
    <row r="1930" spans="2:19" ht="13.5" hidden="1" thickBot="1">
      <c r="B1930" s="609" t="s">
        <v>168</v>
      </c>
      <c r="C1930" s="610"/>
      <c r="D1930" s="611" t="s">
        <v>256</v>
      </c>
      <c r="E1930" s="602"/>
      <c r="F1930" s="603">
        <v>180</v>
      </c>
      <c r="G1930" s="604">
        <v>1.333</v>
      </c>
      <c r="H1930" s="605">
        <f>IF(F1930=0,0,IF(F1930&lt;=30,(0.7*F1930+1.45)*G1930,((0.7*30+1.45)+0.58*(F1930-30))*G1930))</f>
        <v>145.89685</v>
      </c>
      <c r="I1930" s="675">
        <v>0</v>
      </c>
      <c r="J1930" s="675"/>
      <c r="K1930" s="606">
        <f t="shared" si="355"/>
        <v>0</v>
      </c>
      <c r="L1930" s="607"/>
      <c r="M1930" s="614"/>
      <c r="N1930" s="614"/>
      <c r="O1930" s="287">
        <f t="shared" si="336"/>
        <v>0</v>
      </c>
      <c r="P1930" s="287">
        <f t="shared" si="337"/>
        <v>0</v>
      </c>
      <c r="Q1930" s="288"/>
      <c r="R1930" s="315" t="str">
        <f>IF(P138&gt;0,"xy","")</f>
        <v/>
      </c>
      <c r="S1930" s="385" t="str">
        <f t="shared" si="372"/>
        <v/>
      </c>
    </row>
    <row r="1931" spans="2:19" ht="13.5" hidden="1" thickBot="1">
      <c r="B1931" s="609" t="s">
        <v>168</v>
      </c>
      <c r="C1931" s="610"/>
      <c r="D1931" s="611" t="s">
        <v>260</v>
      </c>
      <c r="E1931" s="602"/>
      <c r="F1931" s="603">
        <v>20</v>
      </c>
      <c r="G1931" s="604">
        <v>2.4340000000000002</v>
      </c>
      <c r="H1931" s="605">
        <f>IF(F1931=0,0,IF(F1931&lt;=30,(0.7*F1931+1.45)*G1931,((0.7*30+1.45)+0.58*(F1931-30))*G1931))</f>
        <v>37.6053</v>
      </c>
      <c r="I1931" s="675">
        <v>0</v>
      </c>
      <c r="J1931" s="675"/>
      <c r="K1931" s="606">
        <f t="shared" si="355"/>
        <v>0</v>
      </c>
      <c r="L1931" s="607"/>
      <c r="M1931" s="614"/>
      <c r="N1931" s="614"/>
      <c r="O1931" s="287">
        <f t="shared" si="336"/>
        <v>0</v>
      </c>
      <c r="P1931" s="287">
        <f t="shared" si="337"/>
        <v>0</v>
      </c>
      <c r="Q1931" s="288"/>
      <c r="R1931" s="243"/>
      <c r="S1931" s="385" t="str">
        <f t="shared" si="372"/>
        <v/>
      </c>
    </row>
    <row r="1932" spans="2:19" ht="13.5" hidden="1" thickBot="1">
      <c r="B1932" s="609" t="s">
        <v>2046</v>
      </c>
      <c r="C1932" s="610" t="s">
        <v>212</v>
      </c>
      <c r="D1932" s="611" t="s">
        <v>385</v>
      </c>
      <c r="E1932" s="602"/>
      <c r="F1932" s="603"/>
      <c r="G1932" s="604">
        <v>0</v>
      </c>
      <c r="H1932" s="605">
        <f>SUM(H1933:H1935)</f>
        <v>384.00739300000004</v>
      </c>
      <c r="I1932" s="675">
        <v>2759.829147579881</v>
      </c>
      <c r="J1932" s="675">
        <f t="shared" ref="J1932" si="373">IF(ISBLANK(I1932),"",SUM(H1932:I1932))</f>
        <v>3143.8365405798809</v>
      </c>
      <c r="K1932" s="606">
        <f t="shared" si="355"/>
        <v>3815.05</v>
      </c>
      <c r="L1932" s="607" t="s">
        <v>21</v>
      </c>
      <c r="M1932" s="30"/>
      <c r="N1932" s="30"/>
      <c r="O1932" s="287">
        <f t="shared" si="336"/>
        <v>0</v>
      </c>
      <c r="P1932" s="287">
        <f t="shared" si="337"/>
        <v>0</v>
      </c>
      <c r="Q1932" s="288"/>
      <c r="R1932" s="315" t="str">
        <f>IF(P138&gt;0,"xy","")</f>
        <v/>
      </c>
      <c r="S1932" s="385" t="str">
        <f t="shared" si="372"/>
        <v/>
      </c>
    </row>
    <row r="1933" spans="2:19" ht="13.5" hidden="1" thickBot="1">
      <c r="B1933" s="609" t="s">
        <v>168</v>
      </c>
      <c r="C1933" s="610"/>
      <c r="D1933" s="611" t="s">
        <v>218</v>
      </c>
      <c r="E1933" s="602"/>
      <c r="F1933" s="603">
        <v>500</v>
      </c>
      <c r="G1933" s="604">
        <v>0.54359999999999997</v>
      </c>
      <c r="H1933" s="605">
        <f>IF(F1933&lt;=30,(0.51*F1933+4.28)*G1933,((0.51*30+4.28)+0.42*(F1933-30))*G1933)</f>
        <v>117.950328</v>
      </c>
      <c r="I1933" s="675">
        <v>0</v>
      </c>
      <c r="J1933" s="675"/>
      <c r="K1933" s="606">
        <f t="shared" si="355"/>
        <v>0</v>
      </c>
      <c r="L1933" s="607"/>
      <c r="M1933" s="614"/>
      <c r="N1933" s="614"/>
      <c r="O1933" s="287">
        <f t="shared" si="336"/>
        <v>0</v>
      </c>
      <c r="P1933" s="287">
        <f t="shared" si="337"/>
        <v>0</v>
      </c>
      <c r="Q1933" s="288"/>
      <c r="R1933" s="315" t="str">
        <f>IF(P138&gt;0,"xy","")</f>
        <v/>
      </c>
      <c r="S1933" s="385" t="str">
        <f t="shared" si="372"/>
        <v/>
      </c>
    </row>
    <row r="1934" spans="2:19" ht="13.5" hidden="1" thickBot="1">
      <c r="B1934" s="609" t="s">
        <v>168</v>
      </c>
      <c r="C1934" s="610"/>
      <c r="D1934" s="611" t="s">
        <v>256</v>
      </c>
      <c r="E1934" s="602"/>
      <c r="F1934" s="603">
        <v>180</v>
      </c>
      <c r="G1934" s="604">
        <v>1.9327000000000001</v>
      </c>
      <c r="H1934" s="605">
        <f>IF(F1934=0,0,IF(F1934&lt;=30,(0.7*F1934+1.45)*G1934,((0.7*30+1.45)+0.58*(F1934-30))*G1934))</f>
        <v>211.53401500000001</v>
      </c>
      <c r="I1934" s="675">
        <v>0</v>
      </c>
      <c r="J1934" s="675"/>
      <c r="K1934" s="606">
        <f t="shared" si="355"/>
        <v>0</v>
      </c>
      <c r="L1934" s="607"/>
      <c r="M1934" s="614"/>
      <c r="N1934" s="614"/>
      <c r="O1934" s="287">
        <f t="shared" si="336"/>
        <v>0</v>
      </c>
      <c r="P1934" s="287">
        <f t="shared" si="337"/>
        <v>0</v>
      </c>
      <c r="Q1934" s="288"/>
      <c r="S1934" s="385" t="str">
        <f t="shared" si="372"/>
        <v/>
      </c>
    </row>
    <row r="1935" spans="2:19" ht="13.5" hidden="1" thickBot="1">
      <c r="B1935" s="609" t="s">
        <v>168</v>
      </c>
      <c r="C1935" s="610"/>
      <c r="D1935" s="611" t="s">
        <v>260</v>
      </c>
      <c r="E1935" s="602"/>
      <c r="F1935" s="603">
        <v>20</v>
      </c>
      <c r="G1935" s="604">
        <v>3.5289999999999999</v>
      </c>
      <c r="H1935" s="605">
        <f>IF(F1935=0,0,IF(F1935&lt;=30,(0.7*F1935+1.45)*G1935,((0.7*30+1.45)+0.58*(F1935-30))*G1935))</f>
        <v>54.523049999999998</v>
      </c>
      <c r="I1935" s="675">
        <v>0</v>
      </c>
      <c r="J1935" s="675"/>
      <c r="K1935" s="606">
        <f t="shared" si="355"/>
        <v>0</v>
      </c>
      <c r="L1935" s="607"/>
      <c r="M1935" s="614"/>
      <c r="N1935" s="614"/>
      <c r="O1935" s="287">
        <f t="shared" si="336"/>
        <v>0</v>
      </c>
      <c r="P1935" s="287">
        <f t="shared" si="337"/>
        <v>0</v>
      </c>
      <c r="Q1935" s="288"/>
      <c r="R1935" s="243"/>
      <c r="S1935" s="385" t="str">
        <f t="shared" si="372"/>
        <v/>
      </c>
    </row>
    <row r="1936" spans="2:19" ht="13.5" hidden="1" thickBot="1">
      <c r="B1936" s="609">
        <v>621100</v>
      </c>
      <c r="C1936" s="610" t="s">
        <v>212</v>
      </c>
      <c r="D1936" s="611" t="s">
        <v>386</v>
      </c>
      <c r="E1936" s="602"/>
      <c r="F1936" s="603"/>
      <c r="G1936" s="604"/>
      <c r="H1936" s="605">
        <f>SUM(H1937:H1939)</f>
        <v>576.24698599999999</v>
      </c>
      <c r="I1936" s="675">
        <v>3889.84</v>
      </c>
      <c r="J1936" s="675">
        <f t="shared" ref="J1936" si="374">IF(ISBLANK(I1936),"",SUM(H1936:I1936))</f>
        <v>4466.0869860000003</v>
      </c>
      <c r="K1936" s="606">
        <f t="shared" si="355"/>
        <v>5419.6</v>
      </c>
      <c r="L1936" s="607" t="s">
        <v>21</v>
      </c>
      <c r="M1936" s="30"/>
      <c r="N1936" s="30"/>
      <c r="O1936" s="287">
        <f t="shared" si="336"/>
        <v>0</v>
      </c>
      <c r="P1936" s="287">
        <f t="shared" si="337"/>
        <v>0</v>
      </c>
      <c r="Q1936" s="288"/>
      <c r="S1936" s="385" t="str">
        <f t="shared" si="372"/>
        <v/>
      </c>
    </row>
    <row r="1937" spans="2:19" ht="13.5" hidden="1" thickBot="1">
      <c r="B1937" s="609" t="s">
        <v>168</v>
      </c>
      <c r="C1937" s="610"/>
      <c r="D1937" s="611" t="s">
        <v>218</v>
      </c>
      <c r="E1937" s="602"/>
      <c r="F1937" s="603">
        <v>500</v>
      </c>
      <c r="G1937" s="604">
        <v>0.81569999999999998</v>
      </c>
      <c r="H1937" s="605">
        <f>IF(F1937&lt;=30,(0.51*F1937+4.28)*G1937,((0.51*30+4.28)+0.42*(F1937-30))*G1937)</f>
        <v>176.99058600000001</v>
      </c>
      <c r="I1937" s="675">
        <v>0</v>
      </c>
      <c r="J1937" s="675"/>
      <c r="K1937" s="606">
        <f t="shared" si="355"/>
        <v>0</v>
      </c>
      <c r="L1937" s="607"/>
      <c r="M1937" s="614"/>
      <c r="N1937" s="614"/>
      <c r="O1937" s="287">
        <f t="shared" si="336"/>
        <v>0</v>
      </c>
      <c r="P1937" s="287">
        <f t="shared" si="337"/>
        <v>0</v>
      </c>
      <c r="Q1937" s="288"/>
      <c r="R1937" s="315" t="str">
        <f>IF(P1936&gt;0,"xy","")</f>
        <v/>
      </c>
      <c r="S1937" s="385" t="str">
        <f t="shared" si="372"/>
        <v/>
      </c>
    </row>
    <row r="1938" spans="2:19" ht="13.5" hidden="1" thickBot="1">
      <c r="B1938" s="609" t="s">
        <v>168</v>
      </c>
      <c r="C1938" s="610"/>
      <c r="D1938" s="611" t="s">
        <v>256</v>
      </c>
      <c r="E1938" s="602"/>
      <c r="F1938" s="603">
        <v>180</v>
      </c>
      <c r="G1938" s="604">
        <v>2.9003000000000001</v>
      </c>
      <c r="H1938" s="605">
        <f>IF(F1938=0,0,IF(F1938&lt;=30,(0.7*F1938+1.45)*G1938,((0.7*30+1.45)+0.58*(F1938-30))*G1938))</f>
        <v>317.43783500000001</v>
      </c>
      <c r="I1938" s="675">
        <v>0</v>
      </c>
      <c r="J1938" s="675"/>
      <c r="K1938" s="606">
        <f t="shared" si="355"/>
        <v>0</v>
      </c>
      <c r="L1938" s="607"/>
      <c r="M1938" s="614"/>
      <c r="N1938" s="614"/>
      <c r="O1938" s="287">
        <f t="shared" si="336"/>
        <v>0</v>
      </c>
      <c r="P1938" s="287">
        <f t="shared" si="337"/>
        <v>0</v>
      </c>
      <c r="Q1938" s="288"/>
      <c r="R1938" s="315" t="str">
        <f>IF(P1936&gt;0,"xy","")</f>
        <v/>
      </c>
      <c r="S1938" s="385" t="str">
        <f t="shared" si="372"/>
        <v/>
      </c>
    </row>
    <row r="1939" spans="2:19" ht="13.5" hidden="1" thickBot="1">
      <c r="B1939" s="609" t="s">
        <v>168</v>
      </c>
      <c r="C1939" s="610"/>
      <c r="D1939" s="611" t="s">
        <v>260</v>
      </c>
      <c r="E1939" s="602"/>
      <c r="F1939" s="603">
        <v>20</v>
      </c>
      <c r="G1939" s="604">
        <v>5.2957000000000001</v>
      </c>
      <c r="H1939" s="605">
        <f>IF(F1939=0,0,IF(F1939&lt;=30,(0.7*F1939+1.45)*G1939,((0.7*30+1.45)+0.58*(F1939-30))*G1939))</f>
        <v>81.818564999999992</v>
      </c>
      <c r="I1939" s="675">
        <v>0</v>
      </c>
      <c r="J1939" s="675"/>
      <c r="K1939" s="606">
        <f t="shared" si="355"/>
        <v>0</v>
      </c>
      <c r="L1939" s="607"/>
      <c r="M1939" s="614"/>
      <c r="N1939" s="614"/>
      <c r="O1939" s="287">
        <f t="shared" si="336"/>
        <v>0</v>
      </c>
      <c r="P1939" s="287">
        <f t="shared" si="337"/>
        <v>0</v>
      </c>
      <c r="Q1939" s="288"/>
      <c r="R1939" s="243" t="str">
        <f>IF(P1936&gt;0,"xy","")</f>
        <v/>
      </c>
      <c r="S1939" s="385" t="str">
        <f t="shared" si="372"/>
        <v/>
      </c>
    </row>
    <row r="1940" spans="2:19" ht="13.5" hidden="1" thickBot="1">
      <c r="B1940" s="609">
        <v>621200</v>
      </c>
      <c r="C1940" s="610" t="s">
        <v>212</v>
      </c>
      <c r="D1940" s="611" t="s">
        <v>387</v>
      </c>
      <c r="E1940" s="602"/>
      <c r="F1940" s="603"/>
      <c r="G1940" s="604"/>
      <c r="H1940" s="605">
        <f>SUM(H1941:H1943)</f>
        <v>747.00901199999998</v>
      </c>
      <c r="I1940" s="675">
        <v>4932.78</v>
      </c>
      <c r="J1940" s="675">
        <f t="shared" ref="J1940" si="375">IF(ISBLANK(I1940),"",SUM(H1940:I1940))</f>
        <v>5679.7890119999993</v>
      </c>
      <c r="K1940" s="606">
        <f t="shared" si="355"/>
        <v>6892.42</v>
      </c>
      <c r="L1940" s="607" t="s">
        <v>21</v>
      </c>
      <c r="M1940" s="30"/>
      <c r="N1940" s="30"/>
      <c r="O1940" s="287">
        <f t="shared" si="336"/>
        <v>0</v>
      </c>
      <c r="P1940" s="287">
        <f t="shared" si="337"/>
        <v>0</v>
      </c>
      <c r="Q1940" s="288"/>
      <c r="S1940" s="385" t="str">
        <f t="shared" si="372"/>
        <v/>
      </c>
    </row>
    <row r="1941" spans="2:19" ht="13.5" hidden="1" thickBot="1">
      <c r="B1941" s="609" t="s">
        <v>168</v>
      </c>
      <c r="C1941" s="610"/>
      <c r="D1941" s="611" t="s">
        <v>218</v>
      </c>
      <c r="E1941" s="602"/>
      <c r="F1941" s="603">
        <v>500</v>
      </c>
      <c r="G1941" s="604">
        <v>1.0573999999999999</v>
      </c>
      <c r="H1941" s="605">
        <f>IF(F1941&lt;=30,(0.51*F1941+4.28)*G1941,((0.51*30+4.28)+0.42*(F1941-30))*G1941)</f>
        <v>229.434652</v>
      </c>
      <c r="I1941" s="675">
        <v>0</v>
      </c>
      <c r="J1941" s="675"/>
      <c r="K1941" s="606">
        <f t="shared" si="355"/>
        <v>0</v>
      </c>
      <c r="L1941" s="607"/>
      <c r="M1941" s="614"/>
      <c r="N1941" s="614"/>
      <c r="O1941" s="287">
        <f t="shared" si="336"/>
        <v>0</v>
      </c>
      <c r="P1941" s="287">
        <f t="shared" si="337"/>
        <v>0</v>
      </c>
      <c r="Q1941" s="288"/>
      <c r="R1941" s="315" t="str">
        <f>IF(P1940&gt;0,"xy","")</f>
        <v/>
      </c>
      <c r="S1941" s="385" t="str">
        <f t="shared" si="372"/>
        <v/>
      </c>
    </row>
    <row r="1942" spans="2:19" ht="13.5" hidden="1" thickBot="1">
      <c r="B1942" s="609" t="s">
        <v>168</v>
      </c>
      <c r="C1942" s="610"/>
      <c r="D1942" s="611" t="s">
        <v>256</v>
      </c>
      <c r="E1942" s="602"/>
      <c r="F1942" s="603">
        <v>180</v>
      </c>
      <c r="G1942" s="604">
        <v>3.7597999999999998</v>
      </c>
      <c r="H1942" s="605">
        <f>IF(F1942=0,0,IF(F1942&lt;=30,(0.7*F1942+1.45)*G1942,((0.7*30+1.45)+0.58*(F1942-30))*G1942))</f>
        <v>411.51011</v>
      </c>
      <c r="I1942" s="675">
        <v>0</v>
      </c>
      <c r="J1942" s="675"/>
      <c r="K1942" s="606">
        <f t="shared" si="355"/>
        <v>0</v>
      </c>
      <c r="L1942" s="607"/>
      <c r="M1942" s="614"/>
      <c r="N1942" s="614"/>
      <c r="O1942" s="287">
        <f t="shared" si="336"/>
        <v>0</v>
      </c>
      <c r="P1942" s="287">
        <f t="shared" si="337"/>
        <v>0</v>
      </c>
      <c r="Q1942" s="288"/>
      <c r="R1942" s="315" t="str">
        <f>IF(P1940&gt;0,"xy","")</f>
        <v/>
      </c>
      <c r="S1942" s="385" t="str">
        <f t="shared" si="372"/>
        <v/>
      </c>
    </row>
    <row r="1943" spans="2:19" ht="13.5" hidden="1" thickBot="1">
      <c r="B1943" s="609" t="s">
        <v>168</v>
      </c>
      <c r="C1943" s="610"/>
      <c r="D1943" s="611" t="s">
        <v>260</v>
      </c>
      <c r="E1943" s="602"/>
      <c r="F1943" s="603">
        <v>20</v>
      </c>
      <c r="G1943" s="604">
        <v>6.8650000000000002</v>
      </c>
      <c r="H1943" s="605">
        <f>IF(F1943=0,0,IF(F1943&lt;=30,(0.7*F1943+1.45)*G1943,((0.7*30+1.45)+0.58*(F1943-30))*G1943))</f>
        <v>106.06425</v>
      </c>
      <c r="I1943" s="675">
        <v>0</v>
      </c>
      <c r="J1943" s="675"/>
      <c r="K1943" s="606">
        <f t="shared" si="355"/>
        <v>0</v>
      </c>
      <c r="L1943" s="607"/>
      <c r="M1943" s="614"/>
      <c r="N1943" s="614"/>
      <c r="O1943" s="287">
        <f t="shared" si="336"/>
        <v>0</v>
      </c>
      <c r="P1943" s="287">
        <f t="shared" si="337"/>
        <v>0</v>
      </c>
      <c r="Q1943" s="288"/>
      <c r="R1943" s="243" t="str">
        <f>IF(P1940&gt;0,"xy","")</f>
        <v/>
      </c>
      <c r="S1943" s="385" t="str">
        <f t="shared" si="372"/>
        <v/>
      </c>
    </row>
    <row r="1944" spans="2:19" ht="13.5" hidden="1" thickBot="1">
      <c r="B1944" s="609">
        <v>621300</v>
      </c>
      <c r="C1944" s="610" t="s">
        <v>212</v>
      </c>
      <c r="D1944" s="611" t="s">
        <v>388</v>
      </c>
      <c r="E1944" s="602"/>
      <c r="F1944" s="603"/>
      <c r="G1944" s="604"/>
      <c r="H1944" s="605">
        <f>SUM(H1945:H1947)</f>
        <v>1451.453563</v>
      </c>
      <c r="I1944" s="675">
        <v>8262.84</v>
      </c>
      <c r="J1944" s="675">
        <f t="shared" ref="J1944" si="376">IF(ISBLANK(I1944),"",SUM(H1944:I1944))</f>
        <v>9714.2935629999993</v>
      </c>
      <c r="K1944" s="606">
        <f t="shared" si="355"/>
        <v>11788.3</v>
      </c>
      <c r="L1944" s="607" t="s">
        <v>21</v>
      </c>
      <c r="M1944" s="30"/>
      <c r="N1944" s="30"/>
      <c r="O1944" s="287">
        <f t="shared" si="336"/>
        <v>0</v>
      </c>
      <c r="P1944" s="287">
        <f t="shared" si="337"/>
        <v>0</v>
      </c>
      <c r="Q1944" s="288"/>
      <c r="S1944" s="385" t="str">
        <f t="shared" si="372"/>
        <v/>
      </c>
    </row>
    <row r="1945" spans="2:19" ht="13.5" hidden="1" thickBot="1">
      <c r="B1945" s="609" t="s">
        <v>168</v>
      </c>
      <c r="C1945" s="610"/>
      <c r="D1945" s="611" t="s">
        <v>218</v>
      </c>
      <c r="E1945" s="602"/>
      <c r="F1945" s="603">
        <v>500</v>
      </c>
      <c r="G1945" s="604">
        <v>2.0546000000000002</v>
      </c>
      <c r="H1945" s="605">
        <f>IF(F1945&lt;=30,(0.51*F1945+4.28)*G1945,((0.51*30+4.28)+0.42*(F1945-30))*G1945)</f>
        <v>445.80710800000008</v>
      </c>
      <c r="I1945" s="675">
        <v>0</v>
      </c>
      <c r="J1945" s="675"/>
      <c r="K1945" s="606">
        <f t="shared" si="355"/>
        <v>0</v>
      </c>
      <c r="L1945" s="607"/>
      <c r="M1945" s="614"/>
      <c r="N1945" s="614"/>
      <c r="O1945" s="287">
        <f t="shared" si="336"/>
        <v>0</v>
      </c>
      <c r="P1945" s="287">
        <f t="shared" si="337"/>
        <v>0</v>
      </c>
      <c r="Q1945" s="288"/>
      <c r="R1945" s="315" t="str">
        <f>IF(P1944&gt;0,"xy","")</f>
        <v/>
      </c>
      <c r="S1945" s="385" t="str">
        <f t="shared" si="372"/>
        <v/>
      </c>
    </row>
    <row r="1946" spans="2:19" ht="13.5" hidden="1" thickBot="1">
      <c r="B1946" s="609" t="s">
        <v>168</v>
      </c>
      <c r="C1946" s="610"/>
      <c r="D1946" s="611" t="s">
        <v>256</v>
      </c>
      <c r="E1946" s="602"/>
      <c r="F1946" s="603">
        <v>180</v>
      </c>
      <c r="G1946" s="604">
        <v>7.3052999999999999</v>
      </c>
      <c r="H1946" s="605">
        <f>IF(F1946=0,0,IF(F1946&lt;=30,(0.7*F1946+1.45)*G1946,((0.7*30+1.45)+0.58*(F1946-30))*G1946))</f>
        <v>799.56508499999995</v>
      </c>
      <c r="I1946" s="675">
        <v>0</v>
      </c>
      <c r="J1946" s="675"/>
      <c r="K1946" s="606">
        <f t="shared" si="355"/>
        <v>0</v>
      </c>
      <c r="L1946" s="607"/>
      <c r="M1946" s="614"/>
      <c r="N1946" s="614"/>
      <c r="O1946" s="287">
        <f t="shared" si="336"/>
        <v>0</v>
      </c>
      <c r="P1946" s="287">
        <f t="shared" si="337"/>
        <v>0</v>
      </c>
      <c r="Q1946" s="288"/>
      <c r="R1946" s="315" t="str">
        <f>IF(P1944&gt;0,"xy","")</f>
        <v/>
      </c>
      <c r="S1946" s="385" t="str">
        <f t="shared" si="372"/>
        <v/>
      </c>
    </row>
    <row r="1947" spans="2:19" ht="13.5" hidden="1" thickBot="1">
      <c r="B1947" s="609" t="s">
        <v>168</v>
      </c>
      <c r="C1947" s="610"/>
      <c r="D1947" s="611" t="s">
        <v>260</v>
      </c>
      <c r="E1947" s="602"/>
      <c r="F1947" s="603">
        <v>20</v>
      </c>
      <c r="G1947" s="604">
        <v>13.3386</v>
      </c>
      <c r="H1947" s="605">
        <f>IF(F1947=0,0,IF(F1947&lt;=30,(0.7*F1947+1.45)*G1947,((0.7*30+1.45)+0.58*(F1947-30))*G1947))</f>
        <v>206.08136999999999</v>
      </c>
      <c r="I1947" s="675">
        <v>0</v>
      </c>
      <c r="J1947" s="675"/>
      <c r="K1947" s="606">
        <f t="shared" si="355"/>
        <v>0</v>
      </c>
      <c r="L1947" s="607"/>
      <c r="M1947" s="614"/>
      <c r="N1947" s="614"/>
      <c r="O1947" s="287">
        <f t="shared" si="336"/>
        <v>0</v>
      </c>
      <c r="P1947" s="287">
        <f t="shared" si="337"/>
        <v>0</v>
      </c>
      <c r="Q1947" s="288"/>
      <c r="R1947" s="243" t="str">
        <f>IF(P1944&gt;0,"xy","")</f>
        <v/>
      </c>
      <c r="S1947" s="385" t="str">
        <f t="shared" si="372"/>
        <v/>
      </c>
    </row>
    <row r="1948" spans="2:19" ht="13.5" hidden="1" thickBot="1">
      <c r="B1948" s="609">
        <v>621400</v>
      </c>
      <c r="C1948" s="610" t="s">
        <v>212</v>
      </c>
      <c r="D1948" s="611" t="s">
        <v>389</v>
      </c>
      <c r="E1948" s="602"/>
      <c r="F1948" s="603"/>
      <c r="G1948" s="604"/>
      <c r="H1948" s="605">
        <f>SUM(H1949:H1951)</f>
        <v>2767.7807320000002</v>
      </c>
      <c r="I1948" s="675">
        <v>14215.7</v>
      </c>
      <c r="J1948" s="675">
        <f t="shared" ref="J1948" si="377">IF(ISBLANK(I1948),"",SUM(H1948:I1948))</f>
        <v>16983.480732</v>
      </c>
      <c r="K1948" s="606">
        <f t="shared" si="355"/>
        <v>20609.45</v>
      </c>
      <c r="L1948" s="607" t="s">
        <v>21</v>
      </c>
      <c r="M1948" s="30"/>
      <c r="N1948" s="30"/>
      <c r="O1948" s="287">
        <f t="shared" si="336"/>
        <v>0</v>
      </c>
      <c r="P1948" s="287">
        <f t="shared" si="337"/>
        <v>0</v>
      </c>
      <c r="Q1948" s="288"/>
      <c r="S1948" s="385" t="str">
        <f t="shared" si="372"/>
        <v/>
      </c>
    </row>
    <row r="1949" spans="2:19" ht="13.5" hidden="1" thickBot="1">
      <c r="B1949" s="609" t="s">
        <v>168</v>
      </c>
      <c r="C1949" s="610"/>
      <c r="D1949" s="611" t="s">
        <v>218</v>
      </c>
      <c r="E1949" s="602"/>
      <c r="F1949" s="603">
        <v>500</v>
      </c>
      <c r="G1949" s="604">
        <v>3.9178999999999999</v>
      </c>
      <c r="H1949" s="605">
        <f>IF(F1949&lt;=30,(0.51*F1949+4.28)*G1949,((0.51*30+4.28)+0.42*(F1949-30))*G1949)</f>
        <v>850.10594200000003</v>
      </c>
      <c r="I1949" s="675"/>
      <c r="J1949" s="675"/>
      <c r="K1949" s="606">
        <f t="shared" si="355"/>
        <v>0</v>
      </c>
      <c r="L1949" s="607"/>
      <c r="M1949" s="614"/>
      <c r="N1949" s="614"/>
      <c r="O1949" s="287">
        <f t="shared" si="336"/>
        <v>0</v>
      </c>
      <c r="P1949" s="287">
        <f t="shared" si="337"/>
        <v>0</v>
      </c>
      <c r="Q1949" s="288"/>
      <c r="R1949" s="315" t="str">
        <f>IF(P1948&gt;0,"xy","")</f>
        <v/>
      </c>
      <c r="S1949" s="385" t="str">
        <f t="shared" si="372"/>
        <v/>
      </c>
    </row>
    <row r="1950" spans="2:19" ht="13.5" hidden="1" thickBot="1">
      <c r="B1950" s="609" t="s">
        <v>168</v>
      </c>
      <c r="C1950" s="610"/>
      <c r="D1950" s="611" t="s">
        <v>256</v>
      </c>
      <c r="E1950" s="602"/>
      <c r="F1950" s="603">
        <v>180</v>
      </c>
      <c r="G1950" s="604">
        <v>13.9305</v>
      </c>
      <c r="H1950" s="605">
        <f>IF(F1950=0,0,IF(F1950&lt;=30,(0.7*F1950+1.45)*G1950,((0.7*30+1.45)+0.58*(F1950-30))*G1950))</f>
        <v>1524.693225</v>
      </c>
      <c r="I1950" s="675"/>
      <c r="J1950" s="675"/>
      <c r="K1950" s="606">
        <f t="shared" si="355"/>
        <v>0</v>
      </c>
      <c r="L1950" s="607"/>
      <c r="M1950" s="614"/>
      <c r="N1950" s="614"/>
      <c r="O1950" s="287">
        <f t="shared" si="336"/>
        <v>0</v>
      </c>
      <c r="P1950" s="287">
        <f t="shared" si="337"/>
        <v>0</v>
      </c>
      <c r="Q1950" s="288"/>
      <c r="R1950" s="315" t="str">
        <f>IF(P1948&gt;0,"xy","")</f>
        <v/>
      </c>
      <c r="S1950" s="385" t="str">
        <f t="shared" si="372"/>
        <v/>
      </c>
    </row>
    <row r="1951" spans="2:19" ht="13.5" hidden="1" thickBot="1">
      <c r="B1951" s="609" t="s">
        <v>168</v>
      </c>
      <c r="C1951" s="610"/>
      <c r="D1951" s="611" t="s">
        <v>260</v>
      </c>
      <c r="E1951" s="602"/>
      <c r="F1951" s="603">
        <v>20</v>
      </c>
      <c r="G1951" s="604">
        <v>25.435699999999997</v>
      </c>
      <c r="H1951" s="605">
        <f>IF(F1951=0,0,IF(F1951&lt;=30,(0.7*F1951+1.45)*G1951,((0.7*30+1.45)+0.58*(F1951-30))*G1951))</f>
        <v>392.98156499999993</v>
      </c>
      <c r="I1951" s="675"/>
      <c r="J1951" s="675"/>
      <c r="K1951" s="606">
        <f t="shared" si="355"/>
        <v>0</v>
      </c>
      <c r="L1951" s="607"/>
      <c r="M1951" s="614"/>
      <c r="N1951" s="614"/>
      <c r="O1951" s="287">
        <f t="shared" si="336"/>
        <v>0</v>
      </c>
      <c r="P1951" s="287">
        <f t="shared" si="337"/>
        <v>0</v>
      </c>
      <c r="Q1951" s="288"/>
      <c r="R1951" s="243" t="str">
        <f>IF(P1948&gt;0,"xy","")</f>
        <v/>
      </c>
      <c r="S1951" s="385" t="str">
        <f t="shared" si="372"/>
        <v/>
      </c>
    </row>
    <row r="1952" spans="2:19" ht="13.5" hidden="1" thickBot="1">
      <c r="B1952" s="609">
        <v>607500</v>
      </c>
      <c r="C1952" s="610" t="s">
        <v>212</v>
      </c>
      <c r="D1952" s="611" t="s">
        <v>539</v>
      </c>
      <c r="E1952" s="602"/>
      <c r="F1952" s="603"/>
      <c r="G1952" s="604"/>
      <c r="H1952" s="605">
        <f>SUM(H1953:H1955)</f>
        <v>1.134379</v>
      </c>
      <c r="I1952" s="675">
        <v>45.309999999999995</v>
      </c>
      <c r="J1952" s="675">
        <f t="shared" ref="J1952" si="378">IF(ISBLANK(I1952),"",SUM(H1952:I1952))</f>
        <v>46.444378999999998</v>
      </c>
      <c r="K1952" s="606">
        <f t="shared" si="355"/>
        <v>56.36</v>
      </c>
      <c r="L1952" s="607" t="s">
        <v>19</v>
      </c>
      <c r="M1952" s="30"/>
      <c r="N1952" s="30"/>
      <c r="O1952" s="287">
        <f t="shared" si="336"/>
        <v>0</v>
      </c>
      <c r="P1952" s="287">
        <f t="shared" si="337"/>
        <v>0</v>
      </c>
      <c r="Q1952" s="288"/>
      <c r="S1952" s="385" t="str">
        <f t="shared" si="372"/>
        <v/>
      </c>
    </row>
    <row r="1953" spans="2:19" ht="13.5" hidden="1" thickBot="1">
      <c r="B1953" s="609" t="s">
        <v>168</v>
      </c>
      <c r="C1953" s="610"/>
      <c r="D1953" s="611" t="s">
        <v>218</v>
      </c>
      <c r="E1953" s="602"/>
      <c r="F1953" s="603">
        <v>500</v>
      </c>
      <c r="G1953" s="604">
        <v>2.9999999999999997E-4</v>
      </c>
      <c r="H1953" s="605">
        <f>IF(F1953&lt;=30,(0.51*F1953+4.28)*G1953,((0.51*30+4.28)+0.42*(F1953-30))*G1953)</f>
        <v>6.5093999999999999E-2</v>
      </c>
      <c r="I1953" s="675"/>
      <c r="J1953" s="675"/>
      <c r="K1953" s="606">
        <f t="shared" si="355"/>
        <v>0</v>
      </c>
      <c r="L1953" s="607"/>
      <c r="M1953" s="614"/>
      <c r="N1953" s="614"/>
      <c r="O1953" s="287">
        <f t="shared" si="336"/>
        <v>0</v>
      </c>
      <c r="P1953" s="287">
        <f t="shared" si="337"/>
        <v>0</v>
      </c>
      <c r="Q1953" s="288"/>
      <c r="R1953" s="315" t="str">
        <f>IF(P1952&gt;0,"xy","")</f>
        <v/>
      </c>
      <c r="S1953" s="385" t="str">
        <f t="shared" si="372"/>
        <v/>
      </c>
    </row>
    <row r="1954" spans="2:19" ht="13.5" hidden="1" thickBot="1">
      <c r="B1954" s="609" t="s">
        <v>168</v>
      </c>
      <c r="C1954" s="610"/>
      <c r="D1954" s="611" t="s">
        <v>256</v>
      </c>
      <c r="E1954" s="602"/>
      <c r="F1954" s="603">
        <v>180</v>
      </c>
      <c r="G1954" s="604">
        <v>1.2999999999999999E-3</v>
      </c>
      <c r="H1954" s="605">
        <f>IF(F1954=0,0,IF(F1954&lt;=30,(0.7*F1954+1.45)*G1954,((0.7*30+1.45)+0.58*(F1954-30))*G1954))</f>
        <v>0.14228499999999999</v>
      </c>
      <c r="I1954" s="675"/>
      <c r="J1954" s="675"/>
      <c r="K1954" s="606">
        <f t="shared" si="355"/>
        <v>0</v>
      </c>
      <c r="L1954" s="607"/>
      <c r="M1954" s="614"/>
      <c r="N1954" s="614"/>
      <c r="O1954" s="287">
        <f t="shared" si="336"/>
        <v>0</v>
      </c>
      <c r="P1954" s="287">
        <f t="shared" si="337"/>
        <v>0</v>
      </c>
      <c r="Q1954" s="288"/>
      <c r="R1954" s="315" t="str">
        <f>IF(P1952&gt;0,"xy","")</f>
        <v/>
      </c>
      <c r="S1954" s="385" t="str">
        <f t="shared" si="372"/>
        <v/>
      </c>
    </row>
    <row r="1955" spans="2:19" ht="13.5" hidden="1" thickBot="1">
      <c r="B1955" s="609" t="s">
        <v>168</v>
      </c>
      <c r="C1955" s="610"/>
      <c r="D1955" s="611" t="s">
        <v>364</v>
      </c>
      <c r="E1955" s="602"/>
      <c r="F1955" s="603">
        <v>20</v>
      </c>
      <c r="G1955" s="604">
        <v>0.06</v>
      </c>
      <c r="H1955" s="605">
        <f>IF(F1955=0,0,IF(F1955&lt;=30,(0.7*F1955+1.45)*G1955,((0.7*30+1.45)+0.58*(F1955-30))*G1955))</f>
        <v>0.92699999999999994</v>
      </c>
      <c r="I1955" s="675"/>
      <c r="J1955" s="675"/>
      <c r="K1955" s="606">
        <f t="shared" si="355"/>
        <v>0</v>
      </c>
      <c r="L1955" s="607"/>
      <c r="M1955" s="614"/>
      <c r="N1955" s="614"/>
      <c r="O1955" s="287">
        <f t="shared" si="336"/>
        <v>0</v>
      </c>
      <c r="P1955" s="287">
        <f t="shared" si="337"/>
        <v>0</v>
      </c>
      <c r="Q1955" s="288"/>
      <c r="R1955" s="243" t="str">
        <f>IF(P1952&gt;0,"xy","")</f>
        <v/>
      </c>
      <c r="S1955" s="385" t="str">
        <f t="shared" si="372"/>
        <v/>
      </c>
    </row>
    <row r="1956" spans="2:19" ht="13.5" hidden="1" thickBot="1">
      <c r="B1956" s="609">
        <v>607600</v>
      </c>
      <c r="C1956" s="610" t="s">
        <v>212</v>
      </c>
      <c r="D1956" s="611" t="s">
        <v>540</v>
      </c>
      <c r="E1956" s="602"/>
      <c r="F1956" s="603"/>
      <c r="G1956" s="604"/>
      <c r="H1956" s="605">
        <f>SUM(H1957:H1959)</f>
        <v>1.8043420000000001</v>
      </c>
      <c r="I1956" s="675">
        <v>57.410000000000004</v>
      </c>
      <c r="J1956" s="675">
        <f t="shared" ref="J1956" si="379">IF(ISBLANK(I1956),"",SUM(H1956:I1956))</f>
        <v>59.214342000000002</v>
      </c>
      <c r="K1956" s="606">
        <f t="shared" si="355"/>
        <v>71.86</v>
      </c>
      <c r="L1956" s="607" t="s">
        <v>19</v>
      </c>
      <c r="M1956" s="30"/>
      <c r="N1956" s="30"/>
      <c r="O1956" s="287">
        <f t="shared" si="336"/>
        <v>0</v>
      </c>
      <c r="P1956" s="287">
        <f t="shared" si="337"/>
        <v>0</v>
      </c>
      <c r="Q1956" s="288"/>
      <c r="S1956" s="385" t="str">
        <f t="shared" si="372"/>
        <v/>
      </c>
    </row>
    <row r="1957" spans="2:19" ht="13.5" hidden="1" thickBot="1">
      <c r="B1957" s="609" t="s">
        <v>168</v>
      </c>
      <c r="C1957" s="610"/>
      <c r="D1957" s="611" t="s">
        <v>218</v>
      </c>
      <c r="E1957" s="602"/>
      <c r="F1957" s="603">
        <v>500</v>
      </c>
      <c r="G1957" s="604">
        <v>4.0000000000000002E-4</v>
      </c>
      <c r="H1957" s="605">
        <f>IF(F1957&lt;=30,(0.51*F1957+4.28)*G1957,((0.51*30+4.28)+0.42*(F1957-30))*G1957)</f>
        <v>8.6792000000000008E-2</v>
      </c>
      <c r="I1957" s="675"/>
      <c r="J1957" s="675"/>
      <c r="K1957" s="606">
        <f t="shared" si="355"/>
        <v>0</v>
      </c>
      <c r="L1957" s="607"/>
      <c r="M1957" s="614"/>
      <c r="N1957" s="614"/>
      <c r="O1957" s="287">
        <f t="shared" si="336"/>
        <v>0</v>
      </c>
      <c r="P1957" s="287">
        <f t="shared" si="337"/>
        <v>0</v>
      </c>
      <c r="Q1957" s="288"/>
      <c r="R1957" s="315" t="str">
        <f>IF(P1956&gt;0,"xy","")</f>
        <v/>
      </c>
      <c r="S1957" s="385" t="str">
        <f t="shared" si="372"/>
        <v/>
      </c>
    </row>
    <row r="1958" spans="2:19" ht="13.5" hidden="1" thickBot="1">
      <c r="B1958" s="609" t="s">
        <v>168</v>
      </c>
      <c r="C1958" s="610"/>
      <c r="D1958" s="611" t="s">
        <v>256</v>
      </c>
      <c r="E1958" s="602"/>
      <c r="F1958" s="603">
        <v>180</v>
      </c>
      <c r="G1958" s="604">
        <v>2E-3</v>
      </c>
      <c r="H1958" s="605">
        <f>IF(F1958=0,0,IF(F1958&lt;=30,(0.7*F1958+1.45)*G1958,((0.7*30+1.45)+0.58*(F1958-30))*G1958))</f>
        <v>0.21890000000000001</v>
      </c>
      <c r="I1958" s="675"/>
      <c r="J1958" s="675"/>
      <c r="K1958" s="606">
        <f t="shared" si="355"/>
        <v>0</v>
      </c>
      <c r="L1958" s="607"/>
      <c r="M1958" s="614"/>
      <c r="N1958" s="614"/>
      <c r="O1958" s="287">
        <f t="shared" si="336"/>
        <v>0</v>
      </c>
      <c r="P1958" s="287">
        <f t="shared" si="337"/>
        <v>0</v>
      </c>
      <c r="Q1958" s="288"/>
      <c r="R1958" s="315" t="str">
        <f>IF(P1956&gt;0,"xy","")</f>
        <v/>
      </c>
      <c r="S1958" s="385" t="str">
        <f t="shared" si="372"/>
        <v/>
      </c>
    </row>
    <row r="1959" spans="2:19" ht="13.5" hidden="1" thickBot="1">
      <c r="B1959" s="609" t="s">
        <v>168</v>
      </c>
      <c r="C1959" s="610"/>
      <c r="D1959" s="611" t="s">
        <v>364</v>
      </c>
      <c r="E1959" s="602"/>
      <c r="F1959" s="603">
        <v>20</v>
      </c>
      <c r="G1959" s="604">
        <v>9.7000000000000003E-2</v>
      </c>
      <c r="H1959" s="605">
        <f>IF(F1959=0,0,IF(F1959&lt;=30,(0.7*F1959+1.45)*G1959,((0.7*30+1.45)+0.58*(F1959-30))*G1959))</f>
        <v>1.49865</v>
      </c>
      <c r="I1959" s="675"/>
      <c r="J1959" s="675"/>
      <c r="K1959" s="606">
        <f t="shared" si="355"/>
        <v>0</v>
      </c>
      <c r="L1959" s="607"/>
      <c r="M1959" s="614"/>
      <c r="N1959" s="614"/>
      <c r="O1959" s="287">
        <f t="shared" si="336"/>
        <v>0</v>
      </c>
      <c r="P1959" s="287">
        <f t="shared" si="337"/>
        <v>0</v>
      </c>
      <c r="Q1959" s="288"/>
      <c r="R1959" s="243" t="str">
        <f>IF(P1956&gt;0,"xy","")</f>
        <v/>
      </c>
      <c r="S1959" s="385" t="str">
        <f t="shared" si="372"/>
        <v/>
      </c>
    </row>
    <row r="1960" spans="2:19" ht="13.5" hidden="1" thickBot="1">
      <c r="B1960" s="609" t="s">
        <v>2047</v>
      </c>
      <c r="C1960" s="610" t="s">
        <v>212</v>
      </c>
      <c r="D1960" s="611" t="s">
        <v>390</v>
      </c>
      <c r="E1960" s="602"/>
      <c r="F1960" s="603"/>
      <c r="G1960" s="604"/>
      <c r="H1960" s="605">
        <f>SUM(H1961:H1963)</f>
        <v>3.2062620000000002</v>
      </c>
      <c r="I1960" s="675">
        <v>84.649999999999991</v>
      </c>
      <c r="J1960" s="675">
        <f t="shared" ref="J1960" si="380">IF(ISBLANK(I1960),"",SUM(H1960:I1960))</f>
        <v>87.856261999999987</v>
      </c>
      <c r="K1960" s="606">
        <f t="shared" si="355"/>
        <v>106.61</v>
      </c>
      <c r="L1960" s="607" t="s">
        <v>19</v>
      </c>
      <c r="M1960" s="30"/>
      <c r="N1960" s="30"/>
      <c r="O1960" s="287">
        <f t="shared" si="336"/>
        <v>0</v>
      </c>
      <c r="P1960" s="287">
        <f t="shared" si="337"/>
        <v>0</v>
      </c>
      <c r="Q1960" s="288"/>
      <c r="S1960" s="385" t="str">
        <f t="shared" si="372"/>
        <v/>
      </c>
    </row>
    <row r="1961" spans="2:19" ht="13.5" hidden="1" thickBot="1">
      <c r="B1961" s="609" t="s">
        <v>168</v>
      </c>
      <c r="C1961" s="610"/>
      <c r="D1961" s="611" t="s">
        <v>218</v>
      </c>
      <c r="E1961" s="602"/>
      <c r="F1961" s="603">
        <v>500</v>
      </c>
      <c r="G1961" s="604">
        <v>1.9E-3</v>
      </c>
      <c r="H1961" s="605">
        <f>IF(F1961&lt;=30,(0.51*F1961+4.28)*G1961,((0.51*30+4.28)+0.42*(F1961-30))*G1961)</f>
        <v>0.41226200000000002</v>
      </c>
      <c r="I1961" s="675"/>
      <c r="J1961" s="675"/>
      <c r="K1961" s="606">
        <f t="shared" si="355"/>
        <v>0</v>
      </c>
      <c r="L1961" s="607"/>
      <c r="M1961" s="614"/>
      <c r="N1961" s="614"/>
      <c r="O1961" s="287">
        <f t="shared" si="336"/>
        <v>0</v>
      </c>
      <c r="P1961" s="287">
        <f t="shared" si="337"/>
        <v>0</v>
      </c>
      <c r="Q1961" s="288"/>
      <c r="R1961" s="315" t="str">
        <f>IF(P1960&gt;0,"xy","")</f>
        <v/>
      </c>
      <c r="S1961" s="385" t="str">
        <f t="shared" si="372"/>
        <v/>
      </c>
    </row>
    <row r="1962" spans="2:19" ht="13.5" hidden="1" thickBot="1">
      <c r="B1962" s="609" t="s">
        <v>168</v>
      </c>
      <c r="C1962" s="610"/>
      <c r="D1962" s="611" t="s">
        <v>256</v>
      </c>
      <c r="E1962" s="602"/>
      <c r="F1962" s="603">
        <v>180</v>
      </c>
      <c r="G1962" s="604">
        <v>0.01</v>
      </c>
      <c r="H1962" s="605">
        <f>IF(F1962=0,0,IF(F1962&lt;=30,(0.7*F1962+1.45)*G1962,((0.7*30+1.45)+0.58*(F1962-30))*G1962))</f>
        <v>1.0945</v>
      </c>
      <c r="I1962" s="675"/>
      <c r="J1962" s="675"/>
      <c r="K1962" s="606">
        <f t="shared" si="355"/>
        <v>0</v>
      </c>
      <c r="L1962" s="607"/>
      <c r="M1962" s="614"/>
      <c r="N1962" s="614"/>
      <c r="O1962" s="287">
        <f t="shared" si="336"/>
        <v>0</v>
      </c>
      <c r="P1962" s="287">
        <f t="shared" si="337"/>
        <v>0</v>
      </c>
      <c r="Q1962" s="288"/>
      <c r="R1962" s="315" t="str">
        <f>IF(P1960&gt;0,"xy","")</f>
        <v/>
      </c>
      <c r="S1962" s="385" t="str">
        <f t="shared" si="372"/>
        <v/>
      </c>
    </row>
    <row r="1963" spans="2:19" ht="13.5" hidden="1" thickBot="1">
      <c r="B1963" s="609" t="s">
        <v>168</v>
      </c>
      <c r="C1963" s="610"/>
      <c r="D1963" s="611" t="s">
        <v>364</v>
      </c>
      <c r="E1963" s="602"/>
      <c r="F1963" s="603">
        <v>20</v>
      </c>
      <c r="G1963" s="604">
        <v>0.11</v>
      </c>
      <c r="H1963" s="605">
        <f>IF(F1963=0,0,IF(F1963&lt;=30,(0.7*F1963+1.45)*G1963,((0.7*30+1.45)+0.58*(F1963-30))*G1963))</f>
        <v>1.6995</v>
      </c>
      <c r="I1963" s="675"/>
      <c r="J1963" s="675"/>
      <c r="K1963" s="606">
        <f t="shared" si="355"/>
        <v>0</v>
      </c>
      <c r="L1963" s="607"/>
      <c r="M1963" s="614"/>
      <c r="N1963" s="614"/>
      <c r="O1963" s="287">
        <f t="shared" si="336"/>
        <v>0</v>
      </c>
      <c r="P1963" s="287">
        <f t="shared" si="337"/>
        <v>0</v>
      </c>
      <c r="Q1963" s="288"/>
      <c r="R1963" s="243" t="str">
        <f>IF(P1960&gt;0,"xy","")</f>
        <v/>
      </c>
      <c r="S1963" s="385" t="str">
        <f t="shared" si="372"/>
        <v/>
      </c>
    </row>
    <row r="1964" spans="2:19" ht="13.5" hidden="1" thickBot="1">
      <c r="B1964" s="609" t="s">
        <v>2048</v>
      </c>
      <c r="C1964" s="610" t="s">
        <v>212</v>
      </c>
      <c r="D1964" s="611" t="s">
        <v>541</v>
      </c>
      <c r="E1964" s="602"/>
      <c r="F1964" s="603"/>
      <c r="G1964" s="604"/>
      <c r="H1964" s="605">
        <f>SUM(H1965:H1967)</f>
        <v>5.6421190000000001</v>
      </c>
      <c r="I1964" s="675">
        <v>109.74000000000001</v>
      </c>
      <c r="J1964" s="675">
        <f t="shared" ref="J1964" si="381">IF(ISBLANK(I1964),"",SUM(H1964:I1964))</f>
        <v>115.382119</v>
      </c>
      <c r="K1964" s="606">
        <f t="shared" si="355"/>
        <v>140.02000000000001</v>
      </c>
      <c r="L1964" s="607" t="s">
        <v>19</v>
      </c>
      <c r="M1964" s="30"/>
      <c r="N1964" s="30"/>
      <c r="O1964" s="287">
        <f t="shared" si="336"/>
        <v>0</v>
      </c>
      <c r="P1964" s="287">
        <f t="shared" si="337"/>
        <v>0</v>
      </c>
      <c r="Q1964" s="288"/>
      <c r="S1964" s="385" t="str">
        <f t="shared" si="372"/>
        <v/>
      </c>
    </row>
    <row r="1965" spans="2:19" ht="13.5" hidden="1" thickBot="1">
      <c r="B1965" s="609" t="s">
        <v>168</v>
      </c>
      <c r="C1965" s="610"/>
      <c r="D1965" s="611" t="s">
        <v>218</v>
      </c>
      <c r="E1965" s="602"/>
      <c r="F1965" s="603">
        <v>500</v>
      </c>
      <c r="G1965" s="604">
        <v>2.3E-3</v>
      </c>
      <c r="H1965" s="605">
        <f>IF(F1965&lt;=30,(0.51*F1965+4.28)*G1965,((0.51*30+4.28)+0.42*(F1965-30))*G1965)</f>
        <v>0.49905400000000005</v>
      </c>
      <c r="I1965" s="675"/>
      <c r="J1965" s="675"/>
      <c r="K1965" s="606">
        <f t="shared" si="355"/>
        <v>0</v>
      </c>
      <c r="L1965" s="607"/>
      <c r="M1965" s="614"/>
      <c r="N1965" s="614"/>
      <c r="O1965" s="287">
        <f t="shared" si="336"/>
        <v>0</v>
      </c>
      <c r="P1965" s="287">
        <f t="shared" si="337"/>
        <v>0</v>
      </c>
      <c r="Q1965" s="288"/>
      <c r="R1965" s="315" t="str">
        <f>IF(P1964&gt;0,"xy","")</f>
        <v/>
      </c>
      <c r="S1965" s="385" t="str">
        <f t="shared" si="372"/>
        <v/>
      </c>
    </row>
    <row r="1966" spans="2:19" ht="13.5" hidden="1" thickBot="1">
      <c r="B1966" s="609" t="s">
        <v>168</v>
      </c>
      <c r="C1966" s="610"/>
      <c r="D1966" s="611" t="s">
        <v>256</v>
      </c>
      <c r="E1966" s="602"/>
      <c r="F1966" s="603">
        <v>180</v>
      </c>
      <c r="G1966" s="604">
        <v>1.17E-2</v>
      </c>
      <c r="H1966" s="605">
        <f>IF(F1966=0,0,IF(F1966&lt;=30,(0.7*F1966+1.45)*G1966,((0.7*30+1.45)+0.58*(F1966-30))*G1966))</f>
        <v>1.2805650000000002</v>
      </c>
      <c r="I1966" s="675"/>
      <c r="J1966" s="675"/>
      <c r="K1966" s="606">
        <f t="shared" si="355"/>
        <v>0</v>
      </c>
      <c r="L1966" s="607"/>
      <c r="M1966" s="614"/>
      <c r="N1966" s="614"/>
      <c r="O1966" s="287">
        <f t="shared" si="336"/>
        <v>0</v>
      </c>
      <c r="P1966" s="287">
        <f t="shared" si="337"/>
        <v>0</v>
      </c>
      <c r="Q1966" s="288"/>
      <c r="R1966" s="315" t="str">
        <f>IF(P1964&gt;0,"xy","")</f>
        <v/>
      </c>
      <c r="S1966" s="385" t="str">
        <f t="shared" si="372"/>
        <v/>
      </c>
    </row>
    <row r="1967" spans="2:19" ht="13.5" hidden="1" thickBot="1">
      <c r="B1967" s="609" t="s">
        <v>168</v>
      </c>
      <c r="C1967" s="610"/>
      <c r="D1967" s="611" t="s">
        <v>364</v>
      </c>
      <c r="E1967" s="602"/>
      <c r="F1967" s="603">
        <v>20</v>
      </c>
      <c r="G1967" s="604">
        <v>0.25</v>
      </c>
      <c r="H1967" s="605">
        <f>IF(F1967=0,0,IF(F1967&lt;=30,(0.7*F1967+1.45)*G1967,((0.7*30+1.45)+0.58*(F1967-30))*G1967))</f>
        <v>3.8624999999999998</v>
      </c>
      <c r="I1967" s="675"/>
      <c r="J1967" s="675"/>
      <c r="K1967" s="606">
        <f t="shared" si="355"/>
        <v>0</v>
      </c>
      <c r="L1967" s="607"/>
      <c r="M1967" s="614"/>
      <c r="N1967" s="614"/>
      <c r="O1967" s="287">
        <f t="shared" si="336"/>
        <v>0</v>
      </c>
      <c r="P1967" s="287">
        <f t="shared" si="337"/>
        <v>0</v>
      </c>
      <c r="Q1967" s="288"/>
      <c r="R1967" s="243" t="str">
        <f>IF(P1964&gt;0,"xy","")</f>
        <v/>
      </c>
      <c r="S1967" s="385" t="str">
        <f t="shared" si="372"/>
        <v/>
      </c>
    </row>
    <row r="1968" spans="2:19" ht="13.5" hidden="1" thickBot="1">
      <c r="B1968" s="609" t="s">
        <v>2051</v>
      </c>
      <c r="C1968" s="610" t="s">
        <v>212</v>
      </c>
      <c r="D1968" s="611" t="s">
        <v>391</v>
      </c>
      <c r="E1968" s="602"/>
      <c r="F1968" s="603"/>
      <c r="G1968" s="604"/>
      <c r="H1968" s="605">
        <f>SUM(H1969:H1971)</f>
        <v>8.0562780000000007</v>
      </c>
      <c r="I1968" s="675">
        <v>134.82999999999998</v>
      </c>
      <c r="J1968" s="675">
        <f t="shared" ref="J1968" si="382">IF(ISBLANK(I1968),"",SUM(H1968:I1968))</f>
        <v>142.88627799999998</v>
      </c>
      <c r="K1968" s="606">
        <f t="shared" si="355"/>
        <v>173.39</v>
      </c>
      <c r="L1968" s="607" t="s">
        <v>19</v>
      </c>
      <c r="M1968" s="30"/>
      <c r="N1968" s="30"/>
      <c r="O1968" s="287">
        <f t="shared" si="336"/>
        <v>0</v>
      </c>
      <c r="P1968" s="287">
        <f t="shared" si="337"/>
        <v>0</v>
      </c>
      <c r="Q1968" s="288"/>
      <c r="S1968" s="385" t="str">
        <f t="shared" si="372"/>
        <v/>
      </c>
    </row>
    <row r="1969" spans="2:19" ht="13.5" hidden="1" thickBot="1">
      <c r="B1969" s="609" t="s">
        <v>168</v>
      </c>
      <c r="C1969" s="610"/>
      <c r="D1969" s="611" t="s">
        <v>218</v>
      </c>
      <c r="E1969" s="602"/>
      <c r="F1969" s="603">
        <v>500</v>
      </c>
      <c r="G1969" s="604">
        <v>2.5999999999999999E-3</v>
      </c>
      <c r="H1969" s="605">
        <f>IF(F1969&lt;=30,(0.51*F1969+4.28)*G1969,((0.51*30+4.28)+0.42*(F1969-30))*G1969)</f>
        <v>0.56414799999999998</v>
      </c>
      <c r="I1969" s="675"/>
      <c r="J1969" s="675"/>
      <c r="K1969" s="606">
        <f t="shared" si="355"/>
        <v>0</v>
      </c>
      <c r="L1969" s="607"/>
      <c r="M1969" s="614"/>
      <c r="N1969" s="614"/>
      <c r="O1969" s="287">
        <f t="shared" si="336"/>
        <v>0</v>
      </c>
      <c r="P1969" s="287">
        <f t="shared" si="337"/>
        <v>0</v>
      </c>
      <c r="Q1969" s="288"/>
      <c r="R1969" s="315" t="str">
        <f>IF(P1968&gt;0,"xy","")</f>
        <v/>
      </c>
      <c r="S1969" s="385" t="str">
        <f t="shared" si="372"/>
        <v/>
      </c>
    </row>
    <row r="1970" spans="2:19" ht="13.5" hidden="1" thickBot="1">
      <c r="B1970" s="609" t="s">
        <v>168</v>
      </c>
      <c r="C1970" s="610"/>
      <c r="D1970" s="611" t="s">
        <v>256</v>
      </c>
      <c r="E1970" s="602"/>
      <c r="F1970" s="603">
        <v>180</v>
      </c>
      <c r="G1970" s="604">
        <v>1.34E-2</v>
      </c>
      <c r="H1970" s="605">
        <f>IF(F1970=0,0,IF(F1970&lt;=30,(0.7*F1970+1.45)*G1970,((0.7*30+1.45)+0.58*(F1970-30))*G1970))</f>
        <v>1.4666300000000001</v>
      </c>
      <c r="I1970" s="675"/>
      <c r="J1970" s="675"/>
      <c r="K1970" s="606">
        <f t="shared" si="355"/>
        <v>0</v>
      </c>
      <c r="L1970" s="607"/>
      <c r="M1970" s="614"/>
      <c r="N1970" s="614"/>
      <c r="O1970" s="287">
        <f t="shared" si="336"/>
        <v>0</v>
      </c>
      <c r="P1970" s="287">
        <f t="shared" si="337"/>
        <v>0</v>
      </c>
      <c r="Q1970" s="288"/>
      <c r="R1970" s="315" t="str">
        <f>IF(P1968&gt;0,"xy","")</f>
        <v/>
      </c>
      <c r="S1970" s="385" t="str">
        <f t="shared" si="372"/>
        <v/>
      </c>
    </row>
    <row r="1971" spans="2:19" ht="13.5" hidden="1" thickBot="1">
      <c r="B1971" s="609" t="s">
        <v>168</v>
      </c>
      <c r="C1971" s="610"/>
      <c r="D1971" s="611" t="s">
        <v>364</v>
      </c>
      <c r="E1971" s="602"/>
      <c r="F1971" s="603">
        <v>20</v>
      </c>
      <c r="G1971" s="604">
        <v>0.39</v>
      </c>
      <c r="H1971" s="605">
        <f>IF(F1971=0,0,IF(F1971&lt;=30,(0.7*F1971+1.45)*G1971,((0.7*30+1.45)+0.58*(F1971-30))*G1971))</f>
        <v>6.0255000000000001</v>
      </c>
      <c r="I1971" s="675"/>
      <c r="J1971" s="675"/>
      <c r="K1971" s="606">
        <f t="shared" si="355"/>
        <v>0</v>
      </c>
      <c r="L1971" s="607"/>
      <c r="M1971" s="614"/>
      <c r="N1971" s="614"/>
      <c r="O1971" s="287">
        <f t="shared" si="336"/>
        <v>0</v>
      </c>
      <c r="P1971" s="287">
        <f t="shared" si="337"/>
        <v>0</v>
      </c>
      <c r="Q1971" s="288"/>
      <c r="R1971" s="243" t="str">
        <f>IF(P1968&gt;0,"xy","")</f>
        <v/>
      </c>
      <c r="S1971" s="385" t="str">
        <f t="shared" si="372"/>
        <v/>
      </c>
    </row>
    <row r="1972" spans="2:19" ht="13.5" hidden="1" thickBot="1">
      <c r="B1972" s="609" t="s">
        <v>2052</v>
      </c>
      <c r="C1972" s="610" t="s">
        <v>212</v>
      </c>
      <c r="D1972" s="611" t="s">
        <v>542</v>
      </c>
      <c r="E1972" s="602"/>
      <c r="F1972" s="603"/>
      <c r="G1972" s="604"/>
      <c r="H1972" s="605">
        <f>SUM(H1973:H1975)</f>
        <v>10.470437</v>
      </c>
      <c r="I1972" s="675">
        <v>187.48</v>
      </c>
      <c r="J1972" s="675">
        <f t="shared" ref="J1972" si="383">IF(ISBLANK(I1972),"",SUM(H1972:I1972))</f>
        <v>197.95043699999999</v>
      </c>
      <c r="K1972" s="606">
        <f t="shared" si="355"/>
        <v>240.21</v>
      </c>
      <c r="L1972" s="607" t="s">
        <v>19</v>
      </c>
      <c r="M1972" s="30"/>
      <c r="N1972" s="30"/>
      <c r="O1972" s="287">
        <f t="shared" si="336"/>
        <v>0</v>
      </c>
      <c r="P1972" s="287">
        <f t="shared" si="337"/>
        <v>0</v>
      </c>
      <c r="Q1972" s="288"/>
      <c r="S1972" s="385" t="str">
        <f t="shared" si="372"/>
        <v/>
      </c>
    </row>
    <row r="1973" spans="2:19" ht="13.5" hidden="1" thickBot="1">
      <c r="B1973" s="609" t="s">
        <v>168</v>
      </c>
      <c r="C1973" s="610"/>
      <c r="D1973" s="611" t="s">
        <v>218</v>
      </c>
      <c r="E1973" s="602"/>
      <c r="F1973" s="603">
        <v>500</v>
      </c>
      <c r="G1973" s="604">
        <v>2.8999999999999998E-3</v>
      </c>
      <c r="H1973" s="605">
        <f>IF(F1973&lt;=30,(0.51*F1973+4.28)*G1973,((0.51*30+4.28)+0.42*(F1973-30))*G1973)</f>
        <v>0.62924199999999997</v>
      </c>
      <c r="I1973" s="675"/>
      <c r="J1973" s="675"/>
      <c r="K1973" s="606">
        <f t="shared" si="355"/>
        <v>0</v>
      </c>
      <c r="L1973" s="607"/>
      <c r="M1973" s="614"/>
      <c r="N1973" s="614"/>
      <c r="O1973" s="287">
        <f t="shared" si="336"/>
        <v>0</v>
      </c>
      <c r="P1973" s="287">
        <f t="shared" si="337"/>
        <v>0</v>
      </c>
      <c r="Q1973" s="288"/>
      <c r="R1973" s="315" t="str">
        <f>IF(P1972&gt;0,"xy","")</f>
        <v/>
      </c>
      <c r="S1973" s="385" t="str">
        <f t="shared" si="372"/>
        <v/>
      </c>
    </row>
    <row r="1974" spans="2:19" ht="13.5" hidden="1" thickBot="1">
      <c r="B1974" s="609" t="s">
        <v>168</v>
      </c>
      <c r="C1974" s="610"/>
      <c r="D1974" s="611" t="s">
        <v>256</v>
      </c>
      <c r="E1974" s="602"/>
      <c r="F1974" s="603">
        <v>180</v>
      </c>
      <c r="G1974" s="604">
        <v>1.5100000000000001E-2</v>
      </c>
      <c r="H1974" s="605">
        <f>IF(F1974=0,0,IF(F1974&lt;=30,(0.7*F1974+1.45)*G1974,((0.7*30+1.45)+0.58*(F1974-30))*G1974))</f>
        <v>1.652695</v>
      </c>
      <c r="I1974" s="675"/>
      <c r="J1974" s="675"/>
      <c r="K1974" s="606">
        <f t="shared" si="355"/>
        <v>0</v>
      </c>
      <c r="L1974" s="607"/>
      <c r="M1974" s="614"/>
      <c r="N1974" s="614"/>
      <c r="O1974" s="287">
        <f t="shared" si="336"/>
        <v>0</v>
      </c>
      <c r="P1974" s="287">
        <f t="shared" si="337"/>
        <v>0</v>
      </c>
      <c r="Q1974" s="288"/>
      <c r="R1974" s="315" t="str">
        <f>IF(P1972&gt;0,"xy","")</f>
        <v/>
      </c>
      <c r="S1974" s="385" t="str">
        <f t="shared" si="372"/>
        <v/>
      </c>
    </row>
    <row r="1975" spans="2:19" ht="13.5" hidden="1" thickBot="1">
      <c r="B1975" s="609" t="s">
        <v>168</v>
      </c>
      <c r="C1975" s="610"/>
      <c r="D1975" s="611" t="s">
        <v>364</v>
      </c>
      <c r="E1975" s="602"/>
      <c r="F1975" s="603">
        <v>20</v>
      </c>
      <c r="G1975" s="604">
        <v>0.53</v>
      </c>
      <c r="H1975" s="605">
        <f>IF(F1975=0,0,IF(F1975&lt;=30,(0.7*F1975+1.45)*G1975,((0.7*30+1.45)+0.58*(F1975-30))*G1975))</f>
        <v>8.1884999999999994</v>
      </c>
      <c r="I1975" s="675"/>
      <c r="J1975" s="675"/>
      <c r="K1975" s="606">
        <f t="shared" si="355"/>
        <v>0</v>
      </c>
      <c r="L1975" s="607"/>
      <c r="M1975" s="614"/>
      <c r="N1975" s="614"/>
      <c r="O1975" s="287">
        <f t="shared" si="336"/>
        <v>0</v>
      </c>
      <c r="P1975" s="287">
        <f t="shared" si="337"/>
        <v>0</v>
      </c>
      <c r="Q1975" s="288"/>
      <c r="R1975" s="243" t="str">
        <f>IF(P1972&gt;0,"xy","")</f>
        <v/>
      </c>
      <c r="S1975" s="385" t="str">
        <f t="shared" si="372"/>
        <v/>
      </c>
    </row>
    <row r="1976" spans="2:19" ht="13.5" hidden="1" thickBot="1">
      <c r="B1976" s="609" t="s">
        <v>2057</v>
      </c>
      <c r="C1976" s="610" t="s">
        <v>212</v>
      </c>
      <c r="D1976" s="611" t="s">
        <v>392</v>
      </c>
      <c r="E1976" s="602"/>
      <c r="F1976" s="603"/>
      <c r="G1976" s="604"/>
      <c r="H1976" s="605">
        <f>SUM(H1977:H1979)</f>
        <v>12.884596</v>
      </c>
      <c r="I1976" s="675">
        <v>240.13000000000002</v>
      </c>
      <c r="J1976" s="675">
        <f t="shared" ref="J1976" si="384">IF(ISBLANK(I1976),"",SUM(H1976:I1976))</f>
        <v>253.01459600000001</v>
      </c>
      <c r="K1976" s="606">
        <f t="shared" si="355"/>
        <v>307.02999999999997</v>
      </c>
      <c r="L1976" s="607" t="s">
        <v>19</v>
      </c>
      <c r="M1976" s="30"/>
      <c r="N1976" s="30"/>
      <c r="O1976" s="287">
        <f t="shared" si="336"/>
        <v>0</v>
      </c>
      <c r="P1976" s="287">
        <f t="shared" si="337"/>
        <v>0</v>
      </c>
      <c r="Q1976" s="288"/>
      <c r="S1976" s="385" t="str">
        <f t="shared" si="372"/>
        <v/>
      </c>
    </row>
    <row r="1977" spans="2:19" ht="13.5" hidden="1" thickBot="1">
      <c r="B1977" s="609" t="s">
        <v>168</v>
      </c>
      <c r="C1977" s="610"/>
      <c r="D1977" s="611" t="s">
        <v>218</v>
      </c>
      <c r="E1977" s="602"/>
      <c r="F1977" s="603">
        <v>500</v>
      </c>
      <c r="G1977" s="604">
        <v>3.2000000000000002E-3</v>
      </c>
      <c r="H1977" s="605">
        <f>IF(F1977&lt;=30,(0.51*F1977+4.28)*G1977,((0.51*30+4.28)+0.42*(F1977-30))*G1977)</f>
        <v>0.69433600000000006</v>
      </c>
      <c r="I1977" s="675"/>
      <c r="J1977" s="675"/>
      <c r="K1977" s="606">
        <f t="shared" si="355"/>
        <v>0</v>
      </c>
      <c r="L1977" s="607"/>
      <c r="M1977" s="614"/>
      <c r="N1977" s="614"/>
      <c r="O1977" s="287">
        <f t="shared" si="336"/>
        <v>0</v>
      </c>
      <c r="P1977" s="287">
        <f t="shared" si="337"/>
        <v>0</v>
      </c>
      <c r="Q1977" s="288"/>
      <c r="R1977" s="315" t="str">
        <f>IF(P1976&gt;0,"xy","")</f>
        <v/>
      </c>
      <c r="S1977" s="385" t="str">
        <f t="shared" si="372"/>
        <v/>
      </c>
    </row>
    <row r="1978" spans="2:19" ht="13.5" hidden="1" thickBot="1">
      <c r="B1978" s="609" t="s">
        <v>168</v>
      </c>
      <c r="C1978" s="610"/>
      <c r="D1978" s="611" t="s">
        <v>256</v>
      </c>
      <c r="E1978" s="602"/>
      <c r="F1978" s="603">
        <v>180</v>
      </c>
      <c r="G1978" s="604">
        <v>1.6799999999999999E-2</v>
      </c>
      <c r="H1978" s="605">
        <f>IF(F1978=0,0,IF(F1978&lt;=30,(0.7*F1978+1.45)*G1978,((0.7*30+1.45)+0.58*(F1978-30))*G1978))</f>
        <v>1.83876</v>
      </c>
      <c r="I1978" s="675"/>
      <c r="J1978" s="675"/>
      <c r="K1978" s="606">
        <f t="shared" si="355"/>
        <v>0</v>
      </c>
      <c r="L1978" s="607"/>
      <c r="M1978" s="614"/>
      <c r="N1978" s="614"/>
      <c r="O1978" s="287">
        <f t="shared" si="336"/>
        <v>0</v>
      </c>
      <c r="P1978" s="287">
        <f t="shared" si="337"/>
        <v>0</v>
      </c>
      <c r="Q1978" s="288"/>
      <c r="R1978" s="315" t="str">
        <f>IF(P1976&gt;0,"xy","")</f>
        <v/>
      </c>
      <c r="S1978" s="385" t="str">
        <f t="shared" si="372"/>
        <v/>
      </c>
    </row>
    <row r="1979" spans="2:19" ht="13.5" hidden="1" thickBot="1">
      <c r="B1979" s="609" t="s">
        <v>168</v>
      </c>
      <c r="C1979" s="610"/>
      <c r="D1979" s="611" t="s">
        <v>364</v>
      </c>
      <c r="E1979" s="602"/>
      <c r="F1979" s="603">
        <v>20</v>
      </c>
      <c r="G1979" s="604">
        <v>0.67</v>
      </c>
      <c r="H1979" s="605">
        <f>IF(F1979=0,0,IF(F1979&lt;=30,(0.7*F1979+1.45)*G1979,((0.7*30+1.45)+0.58*(F1979-30))*G1979))</f>
        <v>10.3515</v>
      </c>
      <c r="I1979" s="675"/>
      <c r="J1979" s="675"/>
      <c r="K1979" s="606">
        <f t="shared" si="355"/>
        <v>0</v>
      </c>
      <c r="L1979" s="607"/>
      <c r="M1979" s="614"/>
      <c r="N1979" s="614"/>
      <c r="O1979" s="287">
        <f t="shared" si="336"/>
        <v>0</v>
      </c>
      <c r="P1979" s="287">
        <f t="shared" si="337"/>
        <v>0</v>
      </c>
      <c r="Q1979" s="288"/>
      <c r="R1979" s="243" t="str">
        <f>IF(P1976&gt;0,"xy","")</f>
        <v/>
      </c>
      <c r="S1979" s="385" t="str">
        <f t="shared" si="372"/>
        <v/>
      </c>
    </row>
    <row r="1980" spans="2:19" ht="13.5" hidden="1" thickBot="1">
      <c r="B1980" s="609" t="s">
        <v>2049</v>
      </c>
      <c r="C1980" s="610" t="s">
        <v>212</v>
      </c>
      <c r="D1980" s="611" t="s">
        <v>393</v>
      </c>
      <c r="E1980" s="602"/>
      <c r="F1980" s="603"/>
      <c r="G1980" s="604"/>
      <c r="H1980" s="605">
        <f>SUM(H1981:H1983)</f>
        <v>3.2062620000000002</v>
      </c>
      <c r="I1980" s="675">
        <v>172.8</v>
      </c>
      <c r="J1980" s="675">
        <f t="shared" ref="J1980" si="385">IF(ISBLANK(I1980),"",SUM(H1980:I1980))</f>
        <v>176.00626200000002</v>
      </c>
      <c r="K1980" s="606">
        <f t="shared" si="355"/>
        <v>213.58</v>
      </c>
      <c r="L1980" s="607" t="s">
        <v>19</v>
      </c>
      <c r="M1980" s="30"/>
      <c r="N1980" s="30"/>
      <c r="O1980" s="287">
        <f t="shared" si="336"/>
        <v>0</v>
      </c>
      <c r="P1980" s="287">
        <f t="shared" si="337"/>
        <v>0</v>
      </c>
      <c r="Q1980" s="288"/>
      <c r="S1980" s="385" t="str">
        <f t="shared" si="372"/>
        <v/>
      </c>
    </row>
    <row r="1981" spans="2:19" ht="13.5" hidden="1" thickBot="1">
      <c r="B1981" s="609" t="s">
        <v>168</v>
      </c>
      <c r="C1981" s="610"/>
      <c r="D1981" s="611" t="s">
        <v>218</v>
      </c>
      <c r="E1981" s="602"/>
      <c r="F1981" s="603">
        <v>500</v>
      </c>
      <c r="G1981" s="604">
        <v>1.9E-3</v>
      </c>
      <c r="H1981" s="605">
        <f>IF(F1981&lt;=30,(0.51*F1981+4.28)*G1981,((0.51*30+4.28)+0.42*(F1981-30))*G1981)</f>
        <v>0.41226200000000002</v>
      </c>
      <c r="I1981" s="675"/>
      <c r="J1981" s="675"/>
      <c r="K1981" s="606">
        <f t="shared" si="355"/>
        <v>0</v>
      </c>
      <c r="L1981" s="607"/>
      <c r="M1981" s="614"/>
      <c r="N1981" s="614"/>
      <c r="O1981" s="287">
        <f t="shared" si="336"/>
        <v>0</v>
      </c>
      <c r="P1981" s="287">
        <f t="shared" si="337"/>
        <v>0</v>
      </c>
      <c r="Q1981" s="288"/>
      <c r="R1981" s="315" t="str">
        <f>IF(P1980&gt;0,"xy","")</f>
        <v/>
      </c>
      <c r="S1981" s="385" t="str">
        <f t="shared" si="372"/>
        <v/>
      </c>
    </row>
    <row r="1982" spans="2:19" ht="13.5" hidden="1" thickBot="1">
      <c r="B1982" s="609" t="s">
        <v>168</v>
      </c>
      <c r="C1982" s="610"/>
      <c r="D1982" s="611" t="s">
        <v>256</v>
      </c>
      <c r="E1982" s="602"/>
      <c r="F1982" s="603">
        <v>180</v>
      </c>
      <c r="G1982" s="604">
        <v>0.01</v>
      </c>
      <c r="H1982" s="605">
        <f>IF(F1982=0,0,IF(F1982&lt;=30,(0.7*F1982+1.45)*G1982,((0.7*30+1.45)+0.58*(F1982-30))*G1982))</f>
        <v>1.0945</v>
      </c>
      <c r="I1982" s="675"/>
      <c r="J1982" s="675"/>
      <c r="K1982" s="606">
        <f t="shared" si="355"/>
        <v>0</v>
      </c>
      <c r="L1982" s="607"/>
      <c r="M1982" s="614"/>
      <c r="N1982" s="614"/>
      <c r="O1982" s="287">
        <f t="shared" si="336"/>
        <v>0</v>
      </c>
      <c r="P1982" s="287">
        <f t="shared" si="337"/>
        <v>0</v>
      </c>
      <c r="Q1982" s="288"/>
      <c r="R1982" s="315" t="str">
        <f>IF(P1980&gt;0,"xy","")</f>
        <v/>
      </c>
      <c r="S1982" s="385" t="str">
        <f t="shared" si="372"/>
        <v/>
      </c>
    </row>
    <row r="1983" spans="2:19" ht="13.5" hidden="1" thickBot="1">
      <c r="B1983" s="609" t="s">
        <v>168</v>
      </c>
      <c r="C1983" s="610"/>
      <c r="D1983" s="611" t="s">
        <v>364</v>
      </c>
      <c r="E1983" s="602"/>
      <c r="F1983" s="603">
        <v>20</v>
      </c>
      <c r="G1983" s="604">
        <v>0.11</v>
      </c>
      <c r="H1983" s="605">
        <f>IF(F1983=0,0,IF(F1983&lt;=30,(0.7*F1983+1.45)*G1983,((0.7*30+1.45)+0.58*(F1983-30))*G1983))</f>
        <v>1.6995</v>
      </c>
      <c r="I1983" s="675"/>
      <c r="J1983" s="675"/>
      <c r="K1983" s="606">
        <f t="shared" si="355"/>
        <v>0</v>
      </c>
      <c r="L1983" s="607"/>
      <c r="M1983" s="614"/>
      <c r="N1983" s="614"/>
      <c r="O1983" s="287">
        <f t="shared" si="336"/>
        <v>0</v>
      </c>
      <c r="P1983" s="287">
        <f t="shared" si="337"/>
        <v>0</v>
      </c>
      <c r="Q1983" s="288"/>
      <c r="R1983" s="243" t="str">
        <f>IF(P1980&gt;0,"xy","")</f>
        <v/>
      </c>
      <c r="S1983" s="385" t="str">
        <f t="shared" si="372"/>
        <v/>
      </c>
    </row>
    <row r="1984" spans="2:19" ht="13.5" hidden="1" thickBot="1">
      <c r="B1984" s="609" t="s">
        <v>2053</v>
      </c>
      <c r="C1984" s="610" t="s">
        <v>212</v>
      </c>
      <c r="D1984" s="611" t="s">
        <v>741</v>
      </c>
      <c r="E1984" s="602"/>
      <c r="F1984" s="603"/>
      <c r="G1984" s="604"/>
      <c r="H1984" s="605">
        <f>SUM(H1985:H1987)</f>
        <v>5.6421190000000001</v>
      </c>
      <c r="I1984" s="675">
        <v>195.33500000000001</v>
      </c>
      <c r="J1984" s="675">
        <f t="shared" ref="J1984" si="386">IF(ISBLANK(I1984),"",SUM(H1984:I1984))</f>
        <v>200.97711900000002</v>
      </c>
      <c r="K1984" s="606">
        <f t="shared" si="355"/>
        <v>243.89</v>
      </c>
      <c r="L1984" s="607" t="s">
        <v>19</v>
      </c>
      <c r="M1984" s="30"/>
      <c r="N1984" s="30"/>
      <c r="O1984" s="287">
        <f t="shared" si="336"/>
        <v>0</v>
      </c>
      <c r="P1984" s="287">
        <f t="shared" si="337"/>
        <v>0</v>
      </c>
      <c r="Q1984" s="288"/>
      <c r="S1984" s="385" t="str">
        <f t="shared" si="372"/>
        <v/>
      </c>
    </row>
    <row r="1985" spans="2:19" ht="13.5" hidden="1" thickBot="1">
      <c r="B1985" s="609" t="s">
        <v>168</v>
      </c>
      <c r="C1985" s="610"/>
      <c r="D1985" s="611" t="s">
        <v>218</v>
      </c>
      <c r="E1985" s="602"/>
      <c r="F1985" s="603">
        <v>500</v>
      </c>
      <c r="G1985" s="604">
        <v>2.3E-3</v>
      </c>
      <c r="H1985" s="605">
        <f>IF(F1985&lt;=30,(0.51*F1985+4.28)*G1985,((0.51*30+4.28)+0.42*(F1985-30))*G1985)</f>
        <v>0.49905400000000005</v>
      </c>
      <c r="I1985" s="675"/>
      <c r="J1985" s="675"/>
      <c r="K1985" s="606">
        <f t="shared" si="355"/>
        <v>0</v>
      </c>
      <c r="L1985" s="607"/>
      <c r="M1985" s="614"/>
      <c r="N1985" s="614"/>
      <c r="O1985" s="287">
        <f t="shared" si="336"/>
        <v>0</v>
      </c>
      <c r="P1985" s="287">
        <f t="shared" si="337"/>
        <v>0</v>
      </c>
      <c r="Q1985" s="288"/>
      <c r="R1985" s="315" t="str">
        <f>IF(P1984&gt;0,"xy","")</f>
        <v/>
      </c>
      <c r="S1985" s="385" t="str">
        <f t="shared" si="372"/>
        <v/>
      </c>
    </row>
    <row r="1986" spans="2:19" ht="13.5" hidden="1" thickBot="1">
      <c r="B1986" s="609" t="s">
        <v>168</v>
      </c>
      <c r="C1986" s="610"/>
      <c r="D1986" s="611" t="s">
        <v>256</v>
      </c>
      <c r="E1986" s="602"/>
      <c r="F1986" s="603">
        <v>180</v>
      </c>
      <c r="G1986" s="604">
        <v>1.17E-2</v>
      </c>
      <c r="H1986" s="605">
        <f>IF(F1986=0,0,IF(F1986&lt;=30,(0.7*F1986+1.45)*G1986,((0.7*30+1.45)+0.58*(F1986-30))*G1986))</f>
        <v>1.2805650000000002</v>
      </c>
      <c r="I1986" s="675"/>
      <c r="J1986" s="675"/>
      <c r="K1986" s="606">
        <f t="shared" si="355"/>
        <v>0</v>
      </c>
      <c r="L1986" s="607"/>
      <c r="M1986" s="614"/>
      <c r="N1986" s="614"/>
      <c r="O1986" s="287">
        <f t="shared" si="336"/>
        <v>0</v>
      </c>
      <c r="P1986" s="287">
        <f t="shared" si="337"/>
        <v>0</v>
      </c>
      <c r="Q1986" s="288"/>
      <c r="R1986" s="315" t="str">
        <f>IF(P1984&gt;0,"xy","")</f>
        <v/>
      </c>
      <c r="S1986" s="385" t="str">
        <f t="shared" si="372"/>
        <v/>
      </c>
    </row>
    <row r="1987" spans="2:19" ht="13.5" hidden="1" thickBot="1">
      <c r="B1987" s="609" t="s">
        <v>168</v>
      </c>
      <c r="C1987" s="610"/>
      <c r="D1987" s="611" t="s">
        <v>364</v>
      </c>
      <c r="E1987" s="602"/>
      <c r="F1987" s="603">
        <v>20</v>
      </c>
      <c r="G1987" s="604">
        <v>0.25</v>
      </c>
      <c r="H1987" s="605">
        <f>IF(F1987=0,0,IF(F1987&lt;=30,(0.7*F1987+1.45)*G1987,((0.7*30+1.45)+0.58*(F1987-30))*G1987))</f>
        <v>3.8624999999999998</v>
      </c>
      <c r="I1987" s="675"/>
      <c r="J1987" s="675"/>
      <c r="K1987" s="606">
        <f t="shared" si="355"/>
        <v>0</v>
      </c>
      <c r="L1987" s="607"/>
      <c r="M1987" s="614"/>
      <c r="N1987" s="614"/>
      <c r="O1987" s="287">
        <f t="shared" si="336"/>
        <v>0</v>
      </c>
      <c r="P1987" s="287">
        <f t="shared" si="337"/>
        <v>0</v>
      </c>
      <c r="Q1987" s="288"/>
      <c r="R1987" s="243" t="str">
        <f>IF(P1984&gt;0,"xy","")</f>
        <v/>
      </c>
      <c r="S1987" s="385" t="str">
        <f t="shared" si="372"/>
        <v/>
      </c>
    </row>
    <row r="1988" spans="2:19" ht="13.5" hidden="1" thickBot="1">
      <c r="B1988" s="609" t="s">
        <v>2054</v>
      </c>
      <c r="C1988" s="610" t="s">
        <v>212</v>
      </c>
      <c r="D1988" s="611" t="s">
        <v>394</v>
      </c>
      <c r="E1988" s="602"/>
      <c r="F1988" s="603"/>
      <c r="G1988" s="604"/>
      <c r="H1988" s="605">
        <f>SUM(H1989:H1991)</f>
        <v>8.0562780000000007</v>
      </c>
      <c r="I1988" s="675">
        <v>217.86999999999998</v>
      </c>
      <c r="J1988" s="675">
        <f t="shared" ref="J1988" si="387">IF(ISBLANK(I1988),"",SUM(H1988:I1988))</f>
        <v>225.92627799999997</v>
      </c>
      <c r="K1988" s="606">
        <f t="shared" si="355"/>
        <v>274.16000000000003</v>
      </c>
      <c r="L1988" s="607" t="s">
        <v>19</v>
      </c>
      <c r="M1988" s="30"/>
      <c r="N1988" s="30"/>
      <c r="O1988" s="287">
        <f t="shared" si="336"/>
        <v>0</v>
      </c>
      <c r="P1988" s="287">
        <f t="shared" si="337"/>
        <v>0</v>
      </c>
      <c r="Q1988" s="288"/>
      <c r="S1988" s="385" t="str">
        <f t="shared" si="372"/>
        <v/>
      </c>
    </row>
    <row r="1989" spans="2:19" ht="13.5" hidden="1" thickBot="1">
      <c r="B1989" s="609" t="s">
        <v>168</v>
      </c>
      <c r="C1989" s="610"/>
      <c r="D1989" s="611" t="s">
        <v>218</v>
      </c>
      <c r="E1989" s="602"/>
      <c r="F1989" s="603">
        <v>500</v>
      </c>
      <c r="G1989" s="604">
        <v>2.5999999999999999E-3</v>
      </c>
      <c r="H1989" s="605">
        <f>IF(F1989&lt;=30,(0.51*F1989+4.28)*G1989,((0.51*30+4.28)+0.42*(F1989-30))*G1989)</f>
        <v>0.56414799999999998</v>
      </c>
      <c r="I1989" s="675"/>
      <c r="J1989" s="675"/>
      <c r="K1989" s="606">
        <f t="shared" si="355"/>
        <v>0</v>
      </c>
      <c r="L1989" s="607"/>
      <c r="M1989" s="614"/>
      <c r="N1989" s="614"/>
      <c r="O1989" s="287">
        <f t="shared" si="336"/>
        <v>0</v>
      </c>
      <c r="P1989" s="287">
        <f t="shared" si="337"/>
        <v>0</v>
      </c>
      <c r="Q1989" s="288"/>
      <c r="R1989" s="315" t="str">
        <f>IF(P1988&gt;0,"xy","")</f>
        <v/>
      </c>
      <c r="S1989" s="385" t="str">
        <f t="shared" si="372"/>
        <v/>
      </c>
    </row>
    <row r="1990" spans="2:19" ht="13.5" hidden="1" thickBot="1">
      <c r="B1990" s="609" t="s">
        <v>168</v>
      </c>
      <c r="C1990" s="610"/>
      <c r="D1990" s="611" t="s">
        <v>256</v>
      </c>
      <c r="E1990" s="602"/>
      <c r="F1990" s="603">
        <v>180</v>
      </c>
      <c r="G1990" s="604">
        <v>1.34E-2</v>
      </c>
      <c r="H1990" s="605">
        <f>IF(F1990=0,0,IF(F1990&lt;=30,(0.7*F1990+1.45)*G1990,((0.7*30+1.45)+0.58*(F1990-30))*G1990))</f>
        <v>1.4666300000000001</v>
      </c>
      <c r="I1990" s="675"/>
      <c r="J1990" s="675"/>
      <c r="K1990" s="606">
        <f t="shared" si="355"/>
        <v>0</v>
      </c>
      <c r="L1990" s="607"/>
      <c r="M1990" s="614"/>
      <c r="N1990" s="614"/>
      <c r="O1990" s="287">
        <f t="shared" si="336"/>
        <v>0</v>
      </c>
      <c r="P1990" s="287">
        <f t="shared" si="337"/>
        <v>0</v>
      </c>
      <c r="Q1990" s="288"/>
      <c r="R1990" s="315" t="str">
        <f>IF(P1988&gt;0,"xy","")</f>
        <v/>
      </c>
      <c r="S1990" s="385" t="str">
        <f t="shared" si="372"/>
        <v/>
      </c>
    </row>
    <row r="1991" spans="2:19" ht="13.5" hidden="1" thickBot="1">
      <c r="B1991" s="609" t="s">
        <v>168</v>
      </c>
      <c r="C1991" s="610"/>
      <c r="D1991" s="611" t="s">
        <v>364</v>
      </c>
      <c r="E1991" s="602"/>
      <c r="F1991" s="603">
        <v>20</v>
      </c>
      <c r="G1991" s="604">
        <v>0.39</v>
      </c>
      <c r="H1991" s="605">
        <f>IF(F1991=0,0,IF(F1991&lt;=30,(0.7*F1991+1.45)*G1991,((0.7*30+1.45)+0.58*(F1991-30))*G1991))</f>
        <v>6.0255000000000001</v>
      </c>
      <c r="I1991" s="675"/>
      <c r="J1991" s="675"/>
      <c r="K1991" s="606">
        <f t="shared" si="355"/>
        <v>0</v>
      </c>
      <c r="L1991" s="607"/>
      <c r="M1991" s="614"/>
      <c r="N1991" s="614"/>
      <c r="O1991" s="287">
        <f t="shared" si="336"/>
        <v>0</v>
      </c>
      <c r="P1991" s="287">
        <f t="shared" si="337"/>
        <v>0</v>
      </c>
      <c r="Q1991" s="288"/>
      <c r="R1991" s="243" t="str">
        <f>IF(P1988&gt;0,"xy","")</f>
        <v/>
      </c>
      <c r="S1991" s="385" t="str">
        <f t="shared" si="372"/>
        <v/>
      </c>
    </row>
    <row r="1992" spans="2:19" ht="13.5" hidden="1" thickBot="1">
      <c r="B1992" s="609" t="s">
        <v>2058</v>
      </c>
      <c r="C1992" s="610" t="s">
        <v>212</v>
      </c>
      <c r="D1992" s="611" t="s">
        <v>739</v>
      </c>
      <c r="E1992" s="602"/>
      <c r="F1992" s="603"/>
      <c r="G1992" s="604"/>
      <c r="H1992" s="605">
        <f>SUM(H1993:H1995)</f>
        <v>10.470437</v>
      </c>
      <c r="I1992" s="675">
        <v>267.065</v>
      </c>
      <c r="J1992" s="675">
        <f t="shared" ref="J1992" si="388">IF(ISBLANK(I1992),"",SUM(H1992:I1992))</f>
        <v>277.535437</v>
      </c>
      <c r="K1992" s="606">
        <f t="shared" si="355"/>
        <v>336.79</v>
      </c>
      <c r="L1992" s="607" t="s">
        <v>19</v>
      </c>
      <c r="M1992" s="30"/>
      <c r="N1992" s="30"/>
      <c r="O1992" s="287">
        <f t="shared" si="336"/>
        <v>0</v>
      </c>
      <c r="P1992" s="287">
        <f t="shared" si="337"/>
        <v>0</v>
      </c>
      <c r="Q1992" s="288"/>
      <c r="S1992" s="385" t="str">
        <f t="shared" ref="S1992:S2055" si="389">IF(R1992="x","x",IF(R1992="y","x",IF(R1992="xy","x",IF(P1992&gt;0,"x",""))))</f>
        <v/>
      </c>
    </row>
    <row r="1993" spans="2:19" ht="13.5" hidden="1" thickBot="1">
      <c r="B1993" s="609" t="s">
        <v>168</v>
      </c>
      <c r="C1993" s="610"/>
      <c r="D1993" s="611" t="s">
        <v>218</v>
      </c>
      <c r="E1993" s="602"/>
      <c r="F1993" s="603">
        <v>500</v>
      </c>
      <c r="G1993" s="604">
        <v>2.8999999999999998E-3</v>
      </c>
      <c r="H1993" s="605">
        <f>IF(F1993&lt;=30,(0.51*F1993+4.28)*G1993,((0.51*30+4.28)+0.42*(F1993-30))*G1993)</f>
        <v>0.62924199999999997</v>
      </c>
      <c r="I1993" s="675"/>
      <c r="J1993" s="675"/>
      <c r="K1993" s="606">
        <f t="shared" si="355"/>
        <v>0</v>
      </c>
      <c r="L1993" s="607"/>
      <c r="M1993" s="614"/>
      <c r="N1993" s="614"/>
      <c r="O1993" s="287">
        <f t="shared" si="336"/>
        <v>0</v>
      </c>
      <c r="P1993" s="287">
        <f t="shared" si="337"/>
        <v>0</v>
      </c>
      <c r="Q1993" s="288"/>
      <c r="R1993" s="315" t="str">
        <f>IF(P1992&gt;0,"xy","")</f>
        <v/>
      </c>
      <c r="S1993" s="385" t="str">
        <f t="shared" si="389"/>
        <v/>
      </c>
    </row>
    <row r="1994" spans="2:19" ht="13.5" hidden="1" thickBot="1">
      <c r="B1994" s="609" t="s">
        <v>168</v>
      </c>
      <c r="C1994" s="610"/>
      <c r="D1994" s="611" t="s">
        <v>256</v>
      </c>
      <c r="E1994" s="602"/>
      <c r="F1994" s="603">
        <v>180</v>
      </c>
      <c r="G1994" s="604">
        <v>1.5100000000000001E-2</v>
      </c>
      <c r="H1994" s="605">
        <f>IF(F1994=0,0,IF(F1994&lt;=30,(0.7*F1994+1.45)*G1994,((0.7*30+1.45)+0.58*(F1994-30))*G1994))</f>
        <v>1.652695</v>
      </c>
      <c r="I1994" s="675"/>
      <c r="J1994" s="675"/>
      <c r="K1994" s="606">
        <f t="shared" si="355"/>
        <v>0</v>
      </c>
      <c r="L1994" s="607"/>
      <c r="M1994" s="614"/>
      <c r="N1994" s="614"/>
      <c r="O1994" s="287">
        <f t="shared" si="336"/>
        <v>0</v>
      </c>
      <c r="P1994" s="287">
        <f t="shared" si="337"/>
        <v>0</v>
      </c>
      <c r="Q1994" s="288"/>
      <c r="R1994" s="315" t="str">
        <f>IF(P1992&gt;0,"xy","")</f>
        <v/>
      </c>
      <c r="S1994" s="385" t="str">
        <f t="shared" si="389"/>
        <v/>
      </c>
    </row>
    <row r="1995" spans="2:19" ht="13.5" hidden="1" thickBot="1">
      <c r="B1995" s="609" t="s">
        <v>168</v>
      </c>
      <c r="C1995" s="610"/>
      <c r="D1995" s="611" t="s">
        <v>364</v>
      </c>
      <c r="E1995" s="602"/>
      <c r="F1995" s="603">
        <v>20</v>
      </c>
      <c r="G1995" s="604">
        <v>0.53</v>
      </c>
      <c r="H1995" s="605">
        <f>IF(F1995=0,0,IF(F1995&lt;=30,(0.7*F1995+1.45)*G1995,((0.7*30+1.45)+0.58*(F1995-30))*G1995))</f>
        <v>8.1884999999999994</v>
      </c>
      <c r="I1995" s="675"/>
      <c r="J1995" s="675"/>
      <c r="K1995" s="606">
        <f t="shared" si="355"/>
        <v>0</v>
      </c>
      <c r="L1995" s="607"/>
      <c r="M1995" s="614"/>
      <c r="N1995" s="614"/>
      <c r="O1995" s="287">
        <f t="shared" si="336"/>
        <v>0</v>
      </c>
      <c r="P1995" s="287">
        <f t="shared" si="337"/>
        <v>0</v>
      </c>
      <c r="Q1995" s="288"/>
      <c r="R1995" s="243" t="str">
        <f>IF(P1992&gt;0,"xy","")</f>
        <v/>
      </c>
      <c r="S1995" s="385" t="str">
        <f t="shared" si="389"/>
        <v/>
      </c>
    </row>
    <row r="1996" spans="2:19" ht="13.5" hidden="1" thickBot="1">
      <c r="B1996" s="609" t="s">
        <v>2059</v>
      </c>
      <c r="C1996" s="610" t="s">
        <v>212</v>
      </c>
      <c r="D1996" s="611" t="s">
        <v>395</v>
      </c>
      <c r="E1996" s="602"/>
      <c r="F1996" s="603"/>
      <c r="G1996" s="604"/>
      <c r="H1996" s="605">
        <f>SUM(H1997:H1999)</f>
        <v>12.884596</v>
      </c>
      <c r="I1996" s="675">
        <v>316.26</v>
      </c>
      <c r="J1996" s="675">
        <f t="shared" ref="J1996" si="390">IF(ISBLANK(I1996),"",SUM(H1996:I1996))</f>
        <v>329.14459599999998</v>
      </c>
      <c r="K1996" s="606">
        <f t="shared" si="355"/>
        <v>399.42</v>
      </c>
      <c r="L1996" s="607" t="s">
        <v>19</v>
      </c>
      <c r="M1996" s="30"/>
      <c r="N1996" s="30"/>
      <c r="O1996" s="287">
        <f t="shared" ref="O1996:O2250" si="391">IF(ISBLANK(M1996),0,ROUND(K1996*M1996,2))</f>
        <v>0</v>
      </c>
      <c r="P1996" s="287">
        <f t="shared" ref="P1996:P2250" si="392">IF(ISBLANK(N1996),0,ROUND(M1996*N1996,2))</f>
        <v>0</v>
      </c>
      <c r="Q1996" s="288"/>
      <c r="S1996" s="385" t="str">
        <f t="shared" si="389"/>
        <v/>
      </c>
    </row>
    <row r="1997" spans="2:19" ht="13.5" hidden="1" thickBot="1">
      <c r="B1997" s="609" t="s">
        <v>168</v>
      </c>
      <c r="C1997" s="610"/>
      <c r="D1997" s="611" t="s">
        <v>218</v>
      </c>
      <c r="E1997" s="602"/>
      <c r="F1997" s="603">
        <v>500</v>
      </c>
      <c r="G1997" s="604">
        <v>3.2000000000000002E-3</v>
      </c>
      <c r="H1997" s="605">
        <f>IF(F1997&lt;=30,(0.51*F1997+4.28)*G1997,((0.51*30+4.28)+0.42*(F1997-30))*G1997)</f>
        <v>0.69433600000000006</v>
      </c>
      <c r="I1997" s="675"/>
      <c r="J1997" s="675"/>
      <c r="K1997" s="606">
        <f t="shared" si="355"/>
        <v>0</v>
      </c>
      <c r="L1997" s="607"/>
      <c r="M1997" s="614"/>
      <c r="N1997" s="614"/>
      <c r="O1997" s="287">
        <f t="shared" si="391"/>
        <v>0</v>
      </c>
      <c r="P1997" s="287">
        <f t="shared" si="392"/>
        <v>0</v>
      </c>
      <c r="Q1997" s="288"/>
      <c r="R1997" s="315" t="str">
        <f>IF(P1996&gt;0,"xy","")</f>
        <v/>
      </c>
      <c r="S1997" s="385" t="str">
        <f t="shared" si="389"/>
        <v/>
      </c>
    </row>
    <row r="1998" spans="2:19" ht="13.5" hidden="1" thickBot="1">
      <c r="B1998" s="609" t="s">
        <v>168</v>
      </c>
      <c r="C1998" s="610"/>
      <c r="D1998" s="611" t="s">
        <v>256</v>
      </c>
      <c r="E1998" s="602"/>
      <c r="F1998" s="603">
        <v>180</v>
      </c>
      <c r="G1998" s="604">
        <v>1.6799999999999999E-2</v>
      </c>
      <c r="H1998" s="605">
        <f>IF(F1998=0,0,IF(F1998&lt;=30,(0.7*F1998+1.45)*G1998,((0.7*30+1.45)+0.58*(F1998-30))*G1998))</f>
        <v>1.83876</v>
      </c>
      <c r="I1998" s="675"/>
      <c r="J1998" s="675"/>
      <c r="K1998" s="606">
        <f t="shared" si="355"/>
        <v>0</v>
      </c>
      <c r="L1998" s="607"/>
      <c r="M1998" s="614"/>
      <c r="N1998" s="614"/>
      <c r="O1998" s="287">
        <f t="shared" si="391"/>
        <v>0</v>
      </c>
      <c r="P1998" s="287">
        <f t="shared" si="392"/>
        <v>0</v>
      </c>
      <c r="Q1998" s="288"/>
      <c r="R1998" s="315" t="str">
        <f>IF(P1996&gt;0,"xy","")</f>
        <v/>
      </c>
      <c r="S1998" s="385" t="str">
        <f t="shared" si="389"/>
        <v/>
      </c>
    </row>
    <row r="1999" spans="2:19" ht="13.5" hidden="1" thickBot="1">
      <c r="B1999" s="609" t="s">
        <v>168</v>
      </c>
      <c r="C1999" s="610"/>
      <c r="D1999" s="611" t="s">
        <v>364</v>
      </c>
      <c r="E1999" s="602"/>
      <c r="F1999" s="603">
        <v>20</v>
      </c>
      <c r="G1999" s="604">
        <v>0.67</v>
      </c>
      <c r="H1999" s="605">
        <f>IF(F1999=0,0,IF(F1999&lt;=30,(0.7*F1999+1.45)*G1999,((0.7*30+1.45)+0.58*(F1999-30))*G1999))</f>
        <v>10.3515</v>
      </c>
      <c r="I1999" s="675"/>
      <c r="J1999" s="675"/>
      <c r="K1999" s="606">
        <f t="shared" si="355"/>
        <v>0</v>
      </c>
      <c r="L1999" s="607"/>
      <c r="M1999" s="614"/>
      <c r="N1999" s="614"/>
      <c r="O1999" s="287">
        <f t="shared" si="391"/>
        <v>0</v>
      </c>
      <c r="P1999" s="287">
        <f t="shared" si="392"/>
        <v>0</v>
      </c>
      <c r="Q1999" s="288"/>
      <c r="R1999" s="243" t="str">
        <f>IF(P1996&gt;0,"xy","")</f>
        <v/>
      </c>
      <c r="S1999" s="385" t="str">
        <f t="shared" si="389"/>
        <v/>
      </c>
    </row>
    <row r="2000" spans="2:19" ht="13.5" hidden="1" thickBot="1">
      <c r="B2000" s="609" t="s">
        <v>2066</v>
      </c>
      <c r="C2000" s="610" t="s">
        <v>212</v>
      </c>
      <c r="D2000" s="611" t="s">
        <v>740</v>
      </c>
      <c r="E2000" s="602"/>
      <c r="F2000" s="603"/>
      <c r="G2000" s="604"/>
      <c r="H2000" s="605">
        <f>SUM(H2001:H2003)</f>
        <v>16.067119999999999</v>
      </c>
      <c r="I2000" s="675">
        <v>367.29</v>
      </c>
      <c r="J2000" s="675">
        <f t="shared" ref="J2000" si="393">IF(ISBLANK(I2000),"",SUM(H2000:I2000))</f>
        <v>383.35712000000001</v>
      </c>
      <c r="K2000" s="606">
        <f t="shared" si="355"/>
        <v>465.2</v>
      </c>
      <c r="L2000" s="607" t="s">
        <v>19</v>
      </c>
      <c r="M2000" s="30"/>
      <c r="N2000" s="30"/>
      <c r="O2000" s="287">
        <f t="shared" si="391"/>
        <v>0</v>
      </c>
      <c r="P2000" s="287">
        <f t="shared" si="392"/>
        <v>0</v>
      </c>
      <c r="Q2000" s="288"/>
      <c r="S2000" s="385" t="str">
        <f t="shared" si="389"/>
        <v/>
      </c>
    </row>
    <row r="2001" spans="2:19" ht="13.5" hidden="1" thickBot="1">
      <c r="B2001" s="609" t="s">
        <v>168</v>
      </c>
      <c r="C2001" s="610"/>
      <c r="D2001" s="611" t="s">
        <v>218</v>
      </c>
      <c r="E2001" s="602"/>
      <c r="F2001" s="603">
        <v>500</v>
      </c>
      <c r="G2001" s="604">
        <v>4.0000000000000001E-3</v>
      </c>
      <c r="H2001" s="605">
        <f>IF(F2001&lt;=30,(0.51*F2001+4.28)*G2001,((0.51*30+4.28)+0.42*(F2001-30))*G2001)</f>
        <v>0.86792000000000014</v>
      </c>
      <c r="I2001" s="675"/>
      <c r="J2001" s="675"/>
      <c r="K2001" s="606">
        <f t="shared" si="355"/>
        <v>0</v>
      </c>
      <c r="L2001" s="607"/>
      <c r="M2001" s="614"/>
      <c r="N2001" s="614"/>
      <c r="O2001" s="287">
        <f t="shared" si="391"/>
        <v>0</v>
      </c>
      <c r="P2001" s="287">
        <f t="shared" si="392"/>
        <v>0</v>
      </c>
      <c r="Q2001" s="288"/>
      <c r="R2001" s="315" t="str">
        <f>IF(P2000&gt;0,"xy","")</f>
        <v/>
      </c>
      <c r="S2001" s="385" t="str">
        <f t="shared" si="389"/>
        <v/>
      </c>
    </row>
    <row r="2002" spans="2:19" ht="13.5" hidden="1" thickBot="1">
      <c r="B2002" s="609" t="s">
        <v>168</v>
      </c>
      <c r="C2002" s="610"/>
      <c r="D2002" s="611" t="s">
        <v>256</v>
      </c>
      <c r="E2002" s="602"/>
      <c r="F2002" s="603">
        <v>180</v>
      </c>
      <c r="G2002" s="604">
        <v>2.1000000000000001E-2</v>
      </c>
      <c r="H2002" s="605">
        <f>IF(F2002=0,0,IF(F2002&lt;=30,(0.7*F2002+1.45)*G2002,((0.7*30+1.45)+0.58*(F2002-30))*G2002))</f>
        <v>2.2984500000000003</v>
      </c>
      <c r="I2002" s="675"/>
      <c r="J2002" s="675"/>
      <c r="K2002" s="606">
        <f t="shared" si="355"/>
        <v>0</v>
      </c>
      <c r="L2002" s="607"/>
      <c r="M2002" s="614"/>
      <c r="N2002" s="614"/>
      <c r="O2002" s="287">
        <f t="shared" si="391"/>
        <v>0</v>
      </c>
      <c r="P2002" s="287">
        <f t="shared" si="392"/>
        <v>0</v>
      </c>
      <c r="Q2002" s="288"/>
      <c r="R2002" s="315" t="str">
        <f>IF(P2000&gt;0,"xy","")</f>
        <v/>
      </c>
      <c r="S2002" s="385" t="str">
        <f t="shared" si="389"/>
        <v/>
      </c>
    </row>
    <row r="2003" spans="2:19" ht="13.5" hidden="1" thickBot="1">
      <c r="B2003" s="609" t="s">
        <v>168</v>
      </c>
      <c r="C2003" s="610"/>
      <c r="D2003" s="611" t="s">
        <v>364</v>
      </c>
      <c r="E2003" s="602"/>
      <c r="F2003" s="603">
        <v>20</v>
      </c>
      <c r="G2003" s="604">
        <v>0.83499999999999996</v>
      </c>
      <c r="H2003" s="605">
        <f>IF(F2003=0,0,IF(F2003&lt;=30,(0.7*F2003+1.45)*G2003,((0.7*30+1.45)+0.58*(F2003-30))*G2003))</f>
        <v>12.900749999999999</v>
      </c>
      <c r="I2003" s="675"/>
      <c r="J2003" s="675"/>
      <c r="K2003" s="606">
        <f t="shared" si="355"/>
        <v>0</v>
      </c>
      <c r="L2003" s="607"/>
      <c r="M2003" s="614"/>
      <c r="N2003" s="614"/>
      <c r="O2003" s="287">
        <f t="shared" si="391"/>
        <v>0</v>
      </c>
      <c r="P2003" s="287">
        <f t="shared" si="392"/>
        <v>0</v>
      </c>
      <c r="Q2003" s="288"/>
      <c r="R2003" s="243" t="str">
        <f>IF(P2000&gt;0,"xy","")</f>
        <v/>
      </c>
      <c r="S2003" s="385" t="str">
        <f t="shared" si="389"/>
        <v/>
      </c>
    </row>
    <row r="2004" spans="2:19" ht="13.5" hidden="1" thickBot="1">
      <c r="B2004" s="609" t="s">
        <v>2067</v>
      </c>
      <c r="C2004" s="610" t="s">
        <v>212</v>
      </c>
      <c r="D2004" s="611" t="s">
        <v>396</v>
      </c>
      <c r="E2004" s="602"/>
      <c r="F2004" s="603"/>
      <c r="G2004" s="604"/>
      <c r="H2004" s="605">
        <f>SUM(H2005:H2007)</f>
        <v>19.249644</v>
      </c>
      <c r="I2004" s="675">
        <v>418.32000000000005</v>
      </c>
      <c r="J2004" s="675">
        <f t="shared" ref="J2004" si="394">IF(ISBLANK(I2004),"",SUM(H2004:I2004))</f>
        <v>437.56964400000004</v>
      </c>
      <c r="K2004" s="606">
        <f t="shared" si="355"/>
        <v>530.99</v>
      </c>
      <c r="L2004" s="607" t="s">
        <v>19</v>
      </c>
      <c r="M2004" s="30"/>
      <c r="N2004" s="30"/>
      <c r="O2004" s="287">
        <f t="shared" si="391"/>
        <v>0</v>
      </c>
      <c r="P2004" s="287">
        <f t="shared" si="392"/>
        <v>0</v>
      </c>
      <c r="Q2004" s="288"/>
      <c r="S2004" s="385" t="str">
        <f t="shared" si="389"/>
        <v/>
      </c>
    </row>
    <row r="2005" spans="2:19" ht="13.5" hidden="1" thickBot="1">
      <c r="B2005" s="609" t="s">
        <v>168</v>
      </c>
      <c r="C2005" s="610"/>
      <c r="D2005" s="611" t="s">
        <v>218</v>
      </c>
      <c r="E2005" s="602"/>
      <c r="F2005" s="603">
        <v>500</v>
      </c>
      <c r="G2005" s="604">
        <v>4.7999999999999996E-3</v>
      </c>
      <c r="H2005" s="605">
        <f>IF(F2005&lt;=30,(0.51*F2005+4.28)*G2005,((0.51*30+4.28)+0.42*(F2005-30))*G2005)</f>
        <v>1.041504</v>
      </c>
      <c r="I2005" s="675"/>
      <c r="J2005" s="675"/>
      <c r="K2005" s="606">
        <f t="shared" si="355"/>
        <v>0</v>
      </c>
      <c r="L2005" s="607"/>
      <c r="M2005" s="614"/>
      <c r="N2005" s="614"/>
      <c r="O2005" s="287">
        <f t="shared" si="391"/>
        <v>0</v>
      </c>
      <c r="P2005" s="287">
        <f t="shared" si="392"/>
        <v>0</v>
      </c>
      <c r="Q2005" s="288"/>
      <c r="R2005" s="315" t="str">
        <f>IF(P2004&gt;0,"xy","")</f>
        <v/>
      </c>
      <c r="S2005" s="385" t="str">
        <f t="shared" si="389"/>
        <v/>
      </c>
    </row>
    <row r="2006" spans="2:19" ht="13.5" hidden="1" thickBot="1">
      <c r="B2006" s="609" t="s">
        <v>168</v>
      </c>
      <c r="C2006" s="610"/>
      <c r="D2006" s="611" t="s">
        <v>256</v>
      </c>
      <c r="E2006" s="602"/>
      <c r="F2006" s="603">
        <v>180</v>
      </c>
      <c r="G2006" s="604">
        <v>2.52E-2</v>
      </c>
      <c r="H2006" s="605">
        <f>IF(F2006=0,0,IF(F2006&lt;=30,(0.7*F2006+1.45)*G2006,((0.7*30+1.45)+0.58*(F2006-30))*G2006))</f>
        <v>2.75814</v>
      </c>
      <c r="I2006" s="675"/>
      <c r="J2006" s="675"/>
      <c r="K2006" s="606">
        <f t="shared" si="355"/>
        <v>0</v>
      </c>
      <c r="L2006" s="607"/>
      <c r="M2006" s="614"/>
      <c r="N2006" s="614"/>
      <c r="O2006" s="287">
        <f t="shared" si="391"/>
        <v>0</v>
      </c>
      <c r="P2006" s="287">
        <f t="shared" si="392"/>
        <v>0</v>
      </c>
      <c r="Q2006" s="288"/>
      <c r="R2006" s="315" t="str">
        <f>IF(P2004&gt;0,"xy","")</f>
        <v/>
      </c>
      <c r="S2006" s="385" t="str">
        <f t="shared" si="389"/>
        <v/>
      </c>
    </row>
    <row r="2007" spans="2:19" ht="13.5" hidden="1" thickBot="1">
      <c r="B2007" s="609" t="s">
        <v>168</v>
      </c>
      <c r="C2007" s="610"/>
      <c r="D2007" s="611" t="s">
        <v>364</v>
      </c>
      <c r="E2007" s="602"/>
      <c r="F2007" s="603">
        <v>20</v>
      </c>
      <c r="G2007" s="604">
        <v>1</v>
      </c>
      <c r="H2007" s="605">
        <f>IF(F2007=0,0,IF(F2007&lt;=30,(0.7*F2007+1.45)*G2007,((0.7*30+1.45)+0.58*(F2007-30))*G2007))</f>
        <v>15.45</v>
      </c>
      <c r="I2007" s="675"/>
      <c r="J2007" s="675"/>
      <c r="K2007" s="606">
        <f t="shared" si="355"/>
        <v>0</v>
      </c>
      <c r="L2007" s="607"/>
      <c r="M2007" s="614"/>
      <c r="N2007" s="614"/>
      <c r="O2007" s="287">
        <f t="shared" si="391"/>
        <v>0</v>
      </c>
      <c r="P2007" s="287">
        <f t="shared" si="392"/>
        <v>0</v>
      </c>
      <c r="Q2007" s="288"/>
      <c r="R2007" s="243" t="str">
        <f>IF(P2004&gt;0,"xy","")</f>
        <v/>
      </c>
      <c r="S2007" s="385" t="str">
        <f t="shared" si="389"/>
        <v/>
      </c>
    </row>
    <row r="2008" spans="2:19" ht="13.5" hidden="1" thickBot="1">
      <c r="B2008" s="609" t="s">
        <v>2070</v>
      </c>
      <c r="C2008" s="610" t="s">
        <v>212</v>
      </c>
      <c r="D2008" s="611" t="s">
        <v>397</v>
      </c>
      <c r="E2008" s="602"/>
      <c r="F2008" s="603"/>
      <c r="G2008" s="604"/>
      <c r="H2008" s="605">
        <f>SUM(H2009:H2011)</f>
        <v>27.335889999999999</v>
      </c>
      <c r="I2008" s="675">
        <v>644.49</v>
      </c>
      <c r="J2008" s="675">
        <f t="shared" ref="J2008" si="395">IF(ISBLANK(I2008),"",SUM(H2008:I2008))</f>
        <v>671.82588999999996</v>
      </c>
      <c r="K2008" s="606">
        <f t="shared" si="355"/>
        <v>815.26</v>
      </c>
      <c r="L2008" s="607" t="s">
        <v>19</v>
      </c>
      <c r="M2008" s="30"/>
      <c r="N2008" s="30"/>
      <c r="O2008" s="287">
        <f t="shared" si="391"/>
        <v>0</v>
      </c>
      <c r="P2008" s="287">
        <f t="shared" si="392"/>
        <v>0</v>
      </c>
      <c r="Q2008" s="288"/>
      <c r="S2008" s="385" t="str">
        <f t="shared" si="389"/>
        <v/>
      </c>
    </row>
    <row r="2009" spans="2:19" ht="13.5" hidden="1" thickBot="1">
      <c r="B2009" s="609" t="s">
        <v>168</v>
      </c>
      <c r="C2009" s="610"/>
      <c r="D2009" s="611" t="s">
        <v>218</v>
      </c>
      <c r="E2009" s="602"/>
      <c r="F2009" s="603">
        <v>500</v>
      </c>
      <c r="G2009" s="604">
        <v>6.4999999999999997E-3</v>
      </c>
      <c r="H2009" s="605">
        <f>IF(F2009&lt;=30,(0.51*F2009+4.28)*G2009,((0.51*30+4.28)+0.42*(F2009-30))*G2009)</f>
        <v>1.4103700000000001</v>
      </c>
      <c r="I2009" s="675"/>
      <c r="J2009" s="675"/>
      <c r="K2009" s="606">
        <f t="shared" si="355"/>
        <v>0</v>
      </c>
      <c r="L2009" s="607"/>
      <c r="M2009" s="614"/>
      <c r="N2009" s="614"/>
      <c r="O2009" s="287">
        <f t="shared" si="391"/>
        <v>0</v>
      </c>
      <c r="P2009" s="287">
        <f t="shared" si="392"/>
        <v>0</v>
      </c>
      <c r="Q2009" s="288"/>
      <c r="R2009" s="315" t="str">
        <f>IF(P2008&gt;0,"xy","")</f>
        <v/>
      </c>
      <c r="S2009" s="385" t="str">
        <f t="shared" si="389"/>
        <v/>
      </c>
    </row>
    <row r="2010" spans="2:19" ht="13.5" hidden="1" thickBot="1">
      <c r="B2010" s="609" t="s">
        <v>168</v>
      </c>
      <c r="C2010" s="610"/>
      <c r="D2010" s="611" t="s">
        <v>256</v>
      </c>
      <c r="E2010" s="602"/>
      <c r="F2010" s="603">
        <v>180</v>
      </c>
      <c r="G2010" s="604">
        <v>3.3599999999999998E-2</v>
      </c>
      <c r="H2010" s="605">
        <f>IF(F2010=0,0,IF(F2010&lt;=30,(0.7*F2010+1.45)*G2010,((0.7*30+1.45)+0.58*(F2010-30))*G2010))</f>
        <v>3.6775199999999999</v>
      </c>
      <c r="I2010" s="675"/>
      <c r="J2010" s="675"/>
      <c r="K2010" s="606">
        <f t="shared" si="355"/>
        <v>0</v>
      </c>
      <c r="L2010" s="607"/>
      <c r="M2010" s="614"/>
      <c r="N2010" s="614"/>
      <c r="O2010" s="287">
        <f t="shared" si="391"/>
        <v>0</v>
      </c>
      <c r="P2010" s="287">
        <f t="shared" si="392"/>
        <v>0</v>
      </c>
      <c r="Q2010" s="288"/>
      <c r="R2010" s="315" t="str">
        <f>IF(P2008&gt;0,"xy","")</f>
        <v/>
      </c>
      <c r="S2010" s="385" t="str">
        <f t="shared" si="389"/>
        <v/>
      </c>
    </row>
    <row r="2011" spans="2:19" ht="13.5" hidden="1" thickBot="1">
      <c r="B2011" s="609" t="s">
        <v>168</v>
      </c>
      <c r="C2011" s="610"/>
      <c r="D2011" s="611" t="s">
        <v>364</v>
      </c>
      <c r="E2011" s="602"/>
      <c r="F2011" s="603">
        <v>20</v>
      </c>
      <c r="G2011" s="604">
        <v>1.44</v>
      </c>
      <c r="H2011" s="605">
        <f>IF(F2011=0,0,IF(F2011&lt;=30,(0.7*F2011+1.45)*G2011,((0.7*30+1.45)+0.58*(F2011-30))*G2011))</f>
        <v>22.247999999999998</v>
      </c>
      <c r="I2011" s="675"/>
      <c r="J2011" s="675"/>
      <c r="K2011" s="606">
        <f t="shared" si="355"/>
        <v>0</v>
      </c>
      <c r="L2011" s="607"/>
      <c r="M2011" s="614"/>
      <c r="N2011" s="614"/>
      <c r="O2011" s="287">
        <f t="shared" si="391"/>
        <v>0</v>
      </c>
      <c r="P2011" s="287">
        <f t="shared" si="392"/>
        <v>0</v>
      </c>
      <c r="Q2011" s="288"/>
      <c r="R2011" s="243" t="str">
        <f>IF(P2008&gt;0,"xy","")</f>
        <v/>
      </c>
      <c r="S2011" s="385" t="str">
        <f t="shared" si="389"/>
        <v/>
      </c>
    </row>
    <row r="2012" spans="2:19" ht="13.5" hidden="1" thickBot="1">
      <c r="B2012" s="609" t="s">
        <v>2072</v>
      </c>
      <c r="C2012" s="610" t="s">
        <v>212</v>
      </c>
      <c r="D2012" s="611" t="s">
        <v>398</v>
      </c>
      <c r="E2012" s="602"/>
      <c r="F2012" s="603"/>
      <c r="G2012" s="604"/>
      <c r="H2012" s="605">
        <f>SUM(H2013:H2015)</f>
        <v>31.846937999999998</v>
      </c>
      <c r="I2012" s="675">
        <v>1006.1</v>
      </c>
      <c r="J2012" s="675">
        <f t="shared" ref="J2012" si="396">IF(ISBLANK(I2012),"",SUM(H2012:I2012))</f>
        <v>1037.946938</v>
      </c>
      <c r="K2012" s="606">
        <f t="shared" si="355"/>
        <v>1259.55</v>
      </c>
      <c r="L2012" s="607" t="s">
        <v>19</v>
      </c>
      <c r="M2012" s="30"/>
      <c r="N2012" s="30"/>
      <c r="O2012" s="287">
        <f t="shared" si="391"/>
        <v>0</v>
      </c>
      <c r="P2012" s="287">
        <f t="shared" si="392"/>
        <v>0</v>
      </c>
      <c r="Q2012" s="288"/>
      <c r="S2012" s="385" t="str">
        <f t="shared" si="389"/>
        <v/>
      </c>
    </row>
    <row r="2013" spans="2:19" ht="13.5" hidden="1" thickBot="1">
      <c r="B2013" s="609" t="s">
        <v>168</v>
      </c>
      <c r="C2013" s="610"/>
      <c r="D2013" s="611" t="s">
        <v>218</v>
      </c>
      <c r="E2013" s="602"/>
      <c r="F2013" s="603">
        <v>500</v>
      </c>
      <c r="G2013" s="604">
        <v>8.0999999999999996E-3</v>
      </c>
      <c r="H2013" s="605">
        <f>IF(F2013&lt;=30,(0.51*F2013+4.28)*G2013,((0.51*30+4.28)+0.42*(F2013-30))*G2013)</f>
        <v>1.757538</v>
      </c>
      <c r="I2013" s="675"/>
      <c r="J2013" s="675"/>
      <c r="K2013" s="606">
        <f t="shared" si="355"/>
        <v>0</v>
      </c>
      <c r="L2013" s="607"/>
      <c r="M2013" s="614"/>
      <c r="N2013" s="614"/>
      <c r="O2013" s="287">
        <f t="shared" si="391"/>
        <v>0</v>
      </c>
      <c r="P2013" s="287">
        <f t="shared" si="392"/>
        <v>0</v>
      </c>
      <c r="Q2013" s="288"/>
      <c r="R2013" s="315" t="str">
        <f>IF(P2012&gt;0,"xy","")</f>
        <v/>
      </c>
      <c r="S2013" s="385" t="str">
        <f t="shared" si="389"/>
        <v/>
      </c>
    </row>
    <row r="2014" spans="2:19" ht="13.5" hidden="1" thickBot="1">
      <c r="B2014" s="609" t="s">
        <v>168</v>
      </c>
      <c r="C2014" s="610"/>
      <c r="D2014" s="611" t="s">
        <v>256</v>
      </c>
      <c r="E2014" s="602"/>
      <c r="F2014" s="603">
        <v>180</v>
      </c>
      <c r="G2014" s="604">
        <v>4.2000000000000003E-2</v>
      </c>
      <c r="H2014" s="605">
        <f>IF(F2014=0,0,IF(F2014&lt;=30,(0.7*F2014+1.45)*G2014,((0.7*30+1.45)+0.58*(F2014-30))*G2014))</f>
        <v>4.5969000000000007</v>
      </c>
      <c r="I2014" s="675"/>
      <c r="J2014" s="675"/>
      <c r="K2014" s="606">
        <f t="shared" si="355"/>
        <v>0</v>
      </c>
      <c r="L2014" s="607"/>
      <c r="M2014" s="614"/>
      <c r="N2014" s="614"/>
      <c r="O2014" s="287">
        <f t="shared" si="391"/>
        <v>0</v>
      </c>
      <c r="P2014" s="287">
        <f t="shared" si="392"/>
        <v>0</v>
      </c>
      <c r="Q2014" s="288"/>
      <c r="R2014" s="315" t="str">
        <f>IF(P2012&gt;0,"xy","")</f>
        <v/>
      </c>
      <c r="S2014" s="385" t="str">
        <f t="shared" si="389"/>
        <v/>
      </c>
    </row>
    <row r="2015" spans="2:19" ht="13.5" hidden="1" thickBot="1">
      <c r="B2015" s="609" t="s">
        <v>168</v>
      </c>
      <c r="C2015" s="610"/>
      <c r="D2015" s="611" t="s">
        <v>364</v>
      </c>
      <c r="E2015" s="602"/>
      <c r="F2015" s="603">
        <v>20</v>
      </c>
      <c r="G2015" s="604">
        <v>1.65</v>
      </c>
      <c r="H2015" s="605">
        <f>IF(F2015=0,0,IF(F2015&lt;=30,(0.7*F2015+1.45)*G2015,((0.7*30+1.45)+0.58*(F2015-30))*G2015))</f>
        <v>25.492499999999996</v>
      </c>
      <c r="I2015" s="675"/>
      <c r="J2015" s="675"/>
      <c r="K2015" s="606">
        <f t="shared" si="355"/>
        <v>0</v>
      </c>
      <c r="L2015" s="607"/>
      <c r="M2015" s="614"/>
      <c r="N2015" s="614"/>
      <c r="O2015" s="287">
        <f t="shared" si="391"/>
        <v>0</v>
      </c>
      <c r="P2015" s="287">
        <f t="shared" si="392"/>
        <v>0</v>
      </c>
      <c r="Q2015" s="288"/>
      <c r="R2015" s="243" t="str">
        <f>IF(P2012&gt;0,"xy","")</f>
        <v/>
      </c>
      <c r="S2015" s="385" t="str">
        <f t="shared" si="389"/>
        <v/>
      </c>
    </row>
    <row r="2016" spans="2:19" ht="13.5" hidden="1" thickBot="1">
      <c r="B2016" s="609" t="s">
        <v>2073</v>
      </c>
      <c r="C2016" s="610" t="s">
        <v>212</v>
      </c>
      <c r="D2016" s="611" t="s">
        <v>399</v>
      </c>
      <c r="E2016" s="602"/>
      <c r="F2016" s="603"/>
      <c r="G2016" s="604"/>
      <c r="H2016" s="605">
        <f>SUM(H2017:H2019)</f>
        <v>38.427785999999998</v>
      </c>
      <c r="I2016" s="675">
        <v>1443.5463999999999</v>
      </c>
      <c r="J2016" s="675">
        <f t="shared" ref="J2016" si="397">IF(ISBLANK(I2016),"",SUM(H2016:I2016))</f>
        <v>1481.9741859999999</v>
      </c>
      <c r="K2016" s="606">
        <f t="shared" si="355"/>
        <v>1798.38</v>
      </c>
      <c r="L2016" s="607" t="s">
        <v>19</v>
      </c>
      <c r="M2016" s="30"/>
      <c r="N2016" s="30"/>
      <c r="O2016" s="287">
        <f t="shared" si="391"/>
        <v>0</v>
      </c>
      <c r="P2016" s="287">
        <f t="shared" si="392"/>
        <v>0</v>
      </c>
      <c r="Q2016" s="288"/>
      <c r="S2016" s="385" t="str">
        <f t="shared" si="389"/>
        <v/>
      </c>
    </row>
    <row r="2017" spans="2:19" ht="13.5" hidden="1" thickBot="1">
      <c r="B2017" s="609" t="s">
        <v>168</v>
      </c>
      <c r="C2017" s="610"/>
      <c r="D2017" s="611" t="s">
        <v>218</v>
      </c>
      <c r="E2017" s="602"/>
      <c r="F2017" s="603">
        <v>500</v>
      </c>
      <c r="G2017" s="604">
        <v>9.1999999999999998E-3</v>
      </c>
      <c r="H2017" s="605">
        <f>IF(F2017&lt;=30,(0.51*F2017+4.28)*G2017,((0.51*30+4.28)+0.42*(F2017-30))*G2017)</f>
        <v>1.9962160000000002</v>
      </c>
      <c r="I2017" s="675"/>
      <c r="J2017" s="675"/>
      <c r="K2017" s="606">
        <f t="shared" si="355"/>
        <v>0</v>
      </c>
      <c r="L2017" s="607"/>
      <c r="M2017" s="614"/>
      <c r="N2017" s="614"/>
      <c r="O2017" s="287">
        <f t="shared" si="391"/>
        <v>0</v>
      </c>
      <c r="P2017" s="287">
        <f t="shared" si="392"/>
        <v>0</v>
      </c>
      <c r="Q2017" s="288"/>
      <c r="R2017" s="315" t="str">
        <f>IF(P2016&gt;0,"xy","")</f>
        <v/>
      </c>
      <c r="S2017" s="385" t="str">
        <f t="shared" si="389"/>
        <v/>
      </c>
    </row>
    <row r="2018" spans="2:19" ht="13.5" hidden="1" thickBot="1">
      <c r="B2018" s="609" t="s">
        <v>168</v>
      </c>
      <c r="C2018" s="610"/>
      <c r="D2018" s="611" t="s">
        <v>256</v>
      </c>
      <c r="E2018" s="602"/>
      <c r="F2018" s="603">
        <v>180</v>
      </c>
      <c r="G2018" s="604">
        <v>4.7899999999999998E-2</v>
      </c>
      <c r="H2018" s="605">
        <f>IF(F2018=0,0,IF(F2018&lt;=30,(0.7*F2018+1.45)*G2018,((0.7*30+1.45)+0.58*(F2018-30))*G2018))</f>
        <v>5.2426550000000001</v>
      </c>
      <c r="I2018" s="675"/>
      <c r="J2018" s="675"/>
      <c r="K2018" s="606">
        <f t="shared" si="355"/>
        <v>0</v>
      </c>
      <c r="L2018" s="607"/>
      <c r="M2018" s="614"/>
      <c r="N2018" s="614"/>
      <c r="O2018" s="287">
        <f t="shared" si="391"/>
        <v>0</v>
      </c>
      <c r="P2018" s="287">
        <f t="shared" si="392"/>
        <v>0</v>
      </c>
      <c r="Q2018" s="288"/>
      <c r="R2018" s="315" t="str">
        <f>IF(P2016&gt;0,"xy","")</f>
        <v/>
      </c>
      <c r="S2018" s="385" t="str">
        <f t="shared" si="389"/>
        <v/>
      </c>
    </row>
    <row r="2019" spans="2:19" ht="13.5" hidden="1" thickBot="1">
      <c r="B2019" s="609" t="s">
        <v>168</v>
      </c>
      <c r="C2019" s="610"/>
      <c r="D2019" s="611" t="s">
        <v>364</v>
      </c>
      <c r="E2019" s="602"/>
      <c r="F2019" s="603">
        <v>20</v>
      </c>
      <c r="G2019" s="604">
        <v>2.0186999999999999</v>
      </c>
      <c r="H2019" s="605">
        <f>IF(F2019=0,0,IF(F2019&lt;=30,(0.7*F2019+1.45)*G2019,((0.7*30+1.45)+0.58*(F2019-30))*G2019))</f>
        <v>31.188914999999998</v>
      </c>
      <c r="I2019" s="675"/>
      <c r="J2019" s="675"/>
      <c r="K2019" s="606">
        <f t="shared" si="355"/>
        <v>0</v>
      </c>
      <c r="L2019" s="607"/>
      <c r="M2019" s="614"/>
      <c r="N2019" s="614"/>
      <c r="O2019" s="287">
        <f t="shared" si="391"/>
        <v>0</v>
      </c>
      <c r="P2019" s="287">
        <f t="shared" si="392"/>
        <v>0</v>
      </c>
      <c r="Q2019" s="288"/>
      <c r="R2019" s="243" t="str">
        <f>IF(P2016&gt;0,"xy","")</f>
        <v/>
      </c>
      <c r="S2019" s="385" t="str">
        <f t="shared" si="389"/>
        <v/>
      </c>
    </row>
    <row r="2020" spans="2:19" ht="13.5" hidden="1" thickBot="1">
      <c r="B2020" s="609" t="s">
        <v>2076</v>
      </c>
      <c r="C2020" s="610" t="s">
        <v>212</v>
      </c>
      <c r="D2020" s="611" t="s">
        <v>400</v>
      </c>
      <c r="E2020" s="602"/>
      <c r="F2020" s="603"/>
      <c r="G2020" s="604"/>
      <c r="H2020" s="605">
        <f>SUM(H2021:H2023)</f>
        <v>40.838485999999996</v>
      </c>
      <c r="I2020" s="675">
        <v>2373.12</v>
      </c>
      <c r="J2020" s="675">
        <f t="shared" ref="J2020" si="398">IF(ISBLANK(I2020),"",SUM(H2020:I2020))</f>
        <v>2413.958486</v>
      </c>
      <c r="K2020" s="606">
        <f t="shared" si="355"/>
        <v>2929.34</v>
      </c>
      <c r="L2020" s="607" t="s">
        <v>19</v>
      </c>
      <c r="M2020" s="30"/>
      <c r="N2020" s="30"/>
      <c r="O2020" s="287">
        <f t="shared" si="391"/>
        <v>0</v>
      </c>
      <c r="P2020" s="287">
        <f t="shared" si="392"/>
        <v>0</v>
      </c>
      <c r="Q2020" s="288"/>
      <c r="S2020" s="385" t="str">
        <f t="shared" si="389"/>
        <v/>
      </c>
    </row>
    <row r="2021" spans="2:19" ht="13.5" hidden="1" thickBot="1">
      <c r="B2021" s="609" t="s">
        <v>168</v>
      </c>
      <c r="C2021" s="610"/>
      <c r="D2021" s="611" t="s">
        <v>218</v>
      </c>
      <c r="E2021" s="602"/>
      <c r="F2021" s="603">
        <v>500</v>
      </c>
      <c r="G2021" s="604">
        <v>9.7000000000000003E-3</v>
      </c>
      <c r="H2021" s="605">
        <f>IF(F2021&lt;=30,(0.51*F2021+4.28)*G2021,((0.51*30+4.28)+0.42*(F2021-30))*G2021)</f>
        <v>2.1047060000000002</v>
      </c>
      <c r="I2021" s="675"/>
      <c r="J2021" s="675"/>
      <c r="K2021" s="606">
        <f t="shared" si="355"/>
        <v>0</v>
      </c>
      <c r="L2021" s="607"/>
      <c r="M2021" s="614"/>
      <c r="N2021" s="614"/>
      <c r="O2021" s="287">
        <f t="shared" si="391"/>
        <v>0</v>
      </c>
      <c r="P2021" s="287">
        <f t="shared" si="392"/>
        <v>0</v>
      </c>
      <c r="Q2021" s="288"/>
      <c r="R2021" s="315" t="str">
        <f>IF(P2020&gt;0,"xy","")</f>
        <v/>
      </c>
      <c r="S2021" s="385" t="str">
        <f t="shared" si="389"/>
        <v/>
      </c>
    </row>
    <row r="2022" spans="2:19" ht="13.5" hidden="1" thickBot="1">
      <c r="B2022" s="609" t="s">
        <v>168</v>
      </c>
      <c r="C2022" s="610"/>
      <c r="D2022" s="611" t="s">
        <v>256</v>
      </c>
      <c r="E2022" s="602"/>
      <c r="F2022" s="603">
        <v>180</v>
      </c>
      <c r="G2022" s="604">
        <v>5.04E-2</v>
      </c>
      <c r="H2022" s="605">
        <f>IF(F2022=0,0,IF(F2022&lt;=30,(0.7*F2022+1.45)*G2022,((0.7*30+1.45)+0.58*(F2022-30))*G2022))</f>
        <v>5.5162800000000001</v>
      </c>
      <c r="I2022" s="675"/>
      <c r="J2022" s="675"/>
      <c r="K2022" s="606">
        <f t="shared" si="355"/>
        <v>0</v>
      </c>
      <c r="L2022" s="607"/>
      <c r="M2022" s="614"/>
      <c r="N2022" s="614"/>
      <c r="O2022" s="287">
        <f t="shared" si="391"/>
        <v>0</v>
      </c>
      <c r="P2022" s="287">
        <f t="shared" si="392"/>
        <v>0</v>
      </c>
      <c r="Q2022" s="288"/>
      <c r="R2022" s="315" t="str">
        <f>IF(P2020&gt;0,"xy","")</f>
        <v/>
      </c>
      <c r="S2022" s="385" t="str">
        <f t="shared" si="389"/>
        <v/>
      </c>
    </row>
    <row r="2023" spans="2:19" ht="13.5" hidden="1" thickBot="1">
      <c r="B2023" s="609" t="s">
        <v>168</v>
      </c>
      <c r="C2023" s="610"/>
      <c r="D2023" s="611" t="s">
        <v>364</v>
      </c>
      <c r="E2023" s="602"/>
      <c r="F2023" s="603">
        <v>20</v>
      </c>
      <c r="G2023" s="604">
        <v>2.15</v>
      </c>
      <c r="H2023" s="605">
        <f>IF(F2023=0,0,IF(F2023&lt;=30,(0.7*F2023+1.45)*G2023,((0.7*30+1.45)+0.58*(F2023-30))*G2023))</f>
        <v>33.217499999999994</v>
      </c>
      <c r="I2023" s="675"/>
      <c r="J2023" s="675"/>
      <c r="K2023" s="606">
        <f t="shared" si="355"/>
        <v>0</v>
      </c>
      <c r="L2023" s="607"/>
      <c r="M2023" s="614"/>
      <c r="N2023" s="614"/>
      <c r="O2023" s="287">
        <f t="shared" si="391"/>
        <v>0</v>
      </c>
      <c r="P2023" s="287">
        <f t="shared" si="392"/>
        <v>0</v>
      </c>
      <c r="Q2023" s="288"/>
      <c r="R2023" s="243" t="str">
        <f>IF(P2020&gt;0,"xy","")</f>
        <v/>
      </c>
      <c r="S2023" s="385" t="str">
        <f t="shared" si="389"/>
        <v/>
      </c>
    </row>
    <row r="2024" spans="2:19" ht="13.5" hidden="1" thickBot="1">
      <c r="B2024" s="609" t="s">
        <v>2050</v>
      </c>
      <c r="C2024" s="610" t="s">
        <v>212</v>
      </c>
      <c r="D2024" s="611" t="s">
        <v>401</v>
      </c>
      <c r="E2024" s="602"/>
      <c r="F2024" s="603"/>
      <c r="G2024" s="604"/>
      <c r="H2024" s="605">
        <f>SUM(H2025:H2027)</f>
        <v>3.9324120000000002</v>
      </c>
      <c r="I2024" s="675">
        <v>286</v>
      </c>
      <c r="J2024" s="675">
        <f t="shared" ref="J2024" si="399">IF(ISBLANK(I2024),"",SUM(H2024:I2024))</f>
        <v>289.932412</v>
      </c>
      <c r="K2024" s="606">
        <f t="shared" si="355"/>
        <v>351.83</v>
      </c>
      <c r="L2024" s="607" t="s">
        <v>19</v>
      </c>
      <c r="M2024" s="30"/>
      <c r="N2024" s="30"/>
      <c r="O2024" s="287">
        <f t="shared" si="391"/>
        <v>0</v>
      </c>
      <c r="P2024" s="287">
        <f t="shared" si="392"/>
        <v>0</v>
      </c>
      <c r="Q2024" s="288"/>
      <c r="S2024" s="385" t="str">
        <f t="shared" si="389"/>
        <v/>
      </c>
    </row>
    <row r="2025" spans="2:19" ht="13.5" hidden="1" thickBot="1">
      <c r="B2025" s="609" t="s">
        <v>168</v>
      </c>
      <c r="C2025" s="610"/>
      <c r="D2025" s="611" t="s">
        <v>218</v>
      </c>
      <c r="E2025" s="602"/>
      <c r="F2025" s="603">
        <v>500</v>
      </c>
      <c r="G2025" s="604">
        <v>1.9E-3</v>
      </c>
      <c r="H2025" s="605">
        <f>IF(F2025&lt;=30,(0.51*F2025+4.28)*G2025,((0.51*30+4.28)+0.42*(F2025-30))*G2025)</f>
        <v>0.41226200000000002</v>
      </c>
      <c r="I2025" s="675"/>
      <c r="J2025" s="675"/>
      <c r="K2025" s="606">
        <f t="shared" si="355"/>
        <v>0</v>
      </c>
      <c r="L2025" s="607"/>
      <c r="M2025" s="614"/>
      <c r="N2025" s="614"/>
      <c r="O2025" s="287">
        <f t="shared" si="391"/>
        <v>0</v>
      </c>
      <c r="P2025" s="287">
        <f t="shared" si="392"/>
        <v>0</v>
      </c>
      <c r="Q2025" s="288"/>
      <c r="R2025" s="315" t="str">
        <f>IF(P2024&gt;0,"xy","")</f>
        <v/>
      </c>
      <c r="S2025" s="385" t="str">
        <f t="shared" si="389"/>
        <v/>
      </c>
    </row>
    <row r="2026" spans="2:19" ht="13.5" hidden="1" thickBot="1">
      <c r="B2026" s="609" t="s">
        <v>168</v>
      </c>
      <c r="C2026" s="610"/>
      <c r="D2026" s="611" t="s">
        <v>256</v>
      </c>
      <c r="E2026" s="602"/>
      <c r="F2026" s="603">
        <v>180</v>
      </c>
      <c r="G2026" s="604">
        <v>0.01</v>
      </c>
      <c r="H2026" s="605">
        <f>IF(F2026=0,0,IF(F2026&lt;=30,(0.7*F2026+1.45)*G2026,((0.7*30+1.45)+0.58*(F2026-30))*G2026))</f>
        <v>1.0945</v>
      </c>
      <c r="I2026" s="675"/>
      <c r="J2026" s="675"/>
      <c r="K2026" s="606">
        <f t="shared" si="355"/>
        <v>0</v>
      </c>
      <c r="L2026" s="607"/>
      <c r="M2026" s="614"/>
      <c r="N2026" s="614"/>
      <c r="O2026" s="287">
        <f t="shared" si="391"/>
        <v>0</v>
      </c>
      <c r="P2026" s="287">
        <f t="shared" si="392"/>
        <v>0</v>
      </c>
      <c r="Q2026" s="288"/>
      <c r="R2026" s="315" t="str">
        <f>IF(P2024&gt;0,"xy","")</f>
        <v/>
      </c>
      <c r="S2026" s="385" t="str">
        <f t="shared" si="389"/>
        <v/>
      </c>
    </row>
    <row r="2027" spans="2:19" ht="13.5" hidden="1" thickBot="1">
      <c r="B2027" s="609" t="s">
        <v>168</v>
      </c>
      <c r="C2027" s="610"/>
      <c r="D2027" s="611" t="s">
        <v>364</v>
      </c>
      <c r="E2027" s="602"/>
      <c r="F2027" s="603">
        <v>20</v>
      </c>
      <c r="G2027" s="604">
        <v>0.157</v>
      </c>
      <c r="H2027" s="605">
        <f>IF(F2027=0,0,IF(F2027&lt;=30,(0.7*F2027+1.45)*G2027,((0.7*30+1.45)+0.58*(F2027-30))*G2027))</f>
        <v>2.4256500000000001</v>
      </c>
      <c r="I2027" s="675"/>
      <c r="J2027" s="675"/>
      <c r="K2027" s="606">
        <f t="shared" si="355"/>
        <v>0</v>
      </c>
      <c r="L2027" s="607"/>
      <c r="M2027" s="614"/>
      <c r="N2027" s="614"/>
      <c r="O2027" s="287">
        <f t="shared" si="391"/>
        <v>0</v>
      </c>
      <c r="P2027" s="287">
        <f t="shared" si="392"/>
        <v>0</v>
      </c>
      <c r="Q2027" s="288"/>
      <c r="R2027" s="243" t="str">
        <f>IF(P2024&gt;0,"xy","")</f>
        <v/>
      </c>
      <c r="S2027" s="385" t="str">
        <f t="shared" si="389"/>
        <v/>
      </c>
    </row>
    <row r="2028" spans="2:19" ht="13.5" hidden="1" thickBot="1">
      <c r="B2028" s="609" t="s">
        <v>2055</v>
      </c>
      <c r="C2028" s="610" t="s">
        <v>212</v>
      </c>
      <c r="D2028" s="611" t="s">
        <v>742</v>
      </c>
      <c r="E2028" s="602"/>
      <c r="F2028" s="603"/>
      <c r="G2028" s="604"/>
      <c r="H2028" s="605">
        <f>SUM(H2029:H2031)</f>
        <v>5.6421190000000001</v>
      </c>
      <c r="I2028" s="675">
        <v>282.20499999999998</v>
      </c>
      <c r="J2028" s="675">
        <f t="shared" ref="J2028" si="400">IF(ISBLANK(I2028),"",SUM(H2028:I2028))</f>
        <v>287.84711899999996</v>
      </c>
      <c r="K2028" s="606">
        <f t="shared" si="355"/>
        <v>349.3</v>
      </c>
      <c r="L2028" s="607" t="s">
        <v>19</v>
      </c>
      <c r="M2028" s="30"/>
      <c r="N2028" s="30"/>
      <c r="O2028" s="287">
        <f t="shared" si="391"/>
        <v>0</v>
      </c>
      <c r="P2028" s="287">
        <f t="shared" si="392"/>
        <v>0</v>
      </c>
      <c r="Q2028" s="288"/>
      <c r="R2028" s="315" t="str">
        <f>IF(P138&gt;0,"xy","")</f>
        <v/>
      </c>
      <c r="S2028" s="385" t="str">
        <f t="shared" si="389"/>
        <v/>
      </c>
    </row>
    <row r="2029" spans="2:19" ht="13.5" hidden="1" thickBot="1">
      <c r="B2029" s="609" t="s">
        <v>168</v>
      </c>
      <c r="C2029" s="610"/>
      <c r="D2029" s="611" t="s">
        <v>218</v>
      </c>
      <c r="E2029" s="602"/>
      <c r="F2029" s="603">
        <v>500</v>
      </c>
      <c r="G2029" s="604">
        <v>2.3E-3</v>
      </c>
      <c r="H2029" s="605">
        <f>IF(F2029&lt;=30,(0.51*F2029+4.28)*G2029,((0.51*30+4.28)+0.42*(F2029-30))*G2029)</f>
        <v>0.49905400000000005</v>
      </c>
      <c r="I2029" s="675"/>
      <c r="J2029" s="675"/>
      <c r="K2029" s="606">
        <f t="shared" si="355"/>
        <v>0</v>
      </c>
      <c r="L2029" s="607"/>
      <c r="M2029" s="614"/>
      <c r="N2029" s="614"/>
      <c r="O2029" s="287">
        <f t="shared" si="391"/>
        <v>0</v>
      </c>
      <c r="P2029" s="287">
        <f t="shared" si="392"/>
        <v>0</v>
      </c>
      <c r="Q2029" s="288"/>
      <c r="R2029" s="315" t="str">
        <f>IF(P138&gt;0,"xy","")</f>
        <v/>
      </c>
      <c r="S2029" s="385" t="str">
        <f t="shared" si="389"/>
        <v/>
      </c>
    </row>
    <row r="2030" spans="2:19" ht="13.5" hidden="1" thickBot="1">
      <c r="B2030" s="609" t="s">
        <v>168</v>
      </c>
      <c r="C2030" s="610"/>
      <c r="D2030" s="611" t="s">
        <v>256</v>
      </c>
      <c r="E2030" s="602"/>
      <c r="F2030" s="603">
        <v>180</v>
      </c>
      <c r="G2030" s="604">
        <v>1.17E-2</v>
      </c>
      <c r="H2030" s="605">
        <f>IF(F2030=0,0,IF(F2030&lt;=30,(0.7*F2030+1.45)*G2030,((0.7*30+1.45)+0.58*(F2030-30))*G2030))</f>
        <v>1.2805650000000002</v>
      </c>
      <c r="I2030" s="675"/>
      <c r="J2030" s="675"/>
      <c r="K2030" s="606">
        <f t="shared" si="355"/>
        <v>0</v>
      </c>
      <c r="L2030" s="607"/>
      <c r="M2030" s="614"/>
      <c r="N2030" s="614"/>
      <c r="O2030" s="287">
        <f t="shared" si="391"/>
        <v>0</v>
      </c>
      <c r="P2030" s="287">
        <f t="shared" si="392"/>
        <v>0</v>
      </c>
      <c r="Q2030" s="288"/>
      <c r="R2030" s="315" t="str">
        <f>IF(P138&gt;0,"xy","")</f>
        <v/>
      </c>
      <c r="S2030" s="385" t="str">
        <f t="shared" si="389"/>
        <v/>
      </c>
    </row>
    <row r="2031" spans="2:19" ht="13.5" hidden="1" thickBot="1">
      <c r="B2031" s="609" t="s">
        <v>168</v>
      </c>
      <c r="C2031" s="610"/>
      <c r="D2031" s="611" t="s">
        <v>364</v>
      </c>
      <c r="E2031" s="602"/>
      <c r="F2031" s="603">
        <v>20</v>
      </c>
      <c r="G2031" s="604">
        <v>0.25</v>
      </c>
      <c r="H2031" s="605">
        <f>IF(F2031=0,0,IF(F2031&lt;=30,(0.7*F2031+1.45)*G2031,((0.7*30+1.45)+0.58*(F2031-30))*G2031))</f>
        <v>3.8624999999999998</v>
      </c>
      <c r="I2031" s="675"/>
      <c r="J2031" s="675"/>
      <c r="K2031" s="606">
        <f t="shared" si="355"/>
        <v>0</v>
      </c>
      <c r="L2031" s="607"/>
      <c r="M2031" s="614"/>
      <c r="N2031" s="614"/>
      <c r="O2031" s="287">
        <f t="shared" si="391"/>
        <v>0</v>
      </c>
      <c r="P2031" s="287">
        <f t="shared" si="392"/>
        <v>0</v>
      </c>
      <c r="Q2031" s="288"/>
      <c r="R2031" s="243"/>
      <c r="S2031" s="385" t="str">
        <f t="shared" si="389"/>
        <v/>
      </c>
    </row>
    <row r="2032" spans="2:19" ht="13.5" hidden="1" thickBot="1">
      <c r="B2032" s="609" t="s">
        <v>2056</v>
      </c>
      <c r="C2032" s="610" t="s">
        <v>212</v>
      </c>
      <c r="D2032" s="611" t="s">
        <v>402</v>
      </c>
      <c r="E2032" s="602"/>
      <c r="F2032" s="603"/>
      <c r="G2032" s="604"/>
      <c r="H2032" s="605">
        <f>SUM(H2033:H2035)</f>
        <v>8.0562780000000007</v>
      </c>
      <c r="I2032" s="675">
        <v>278.41000000000003</v>
      </c>
      <c r="J2032" s="675">
        <f t="shared" ref="J2032" si="401">IF(ISBLANK(I2032),"",SUM(H2032:I2032))</f>
        <v>286.46627800000005</v>
      </c>
      <c r="K2032" s="606">
        <f t="shared" si="355"/>
        <v>347.63</v>
      </c>
      <c r="L2032" s="607" t="s">
        <v>19</v>
      </c>
      <c r="M2032" s="30"/>
      <c r="N2032" s="30"/>
      <c r="O2032" s="287">
        <f t="shared" si="391"/>
        <v>0</v>
      </c>
      <c r="P2032" s="287">
        <f t="shared" si="392"/>
        <v>0</v>
      </c>
      <c r="Q2032" s="288"/>
      <c r="S2032" s="385" t="str">
        <f t="shared" si="389"/>
        <v/>
      </c>
    </row>
    <row r="2033" spans="2:19" ht="13.5" hidden="1" thickBot="1">
      <c r="B2033" s="609" t="s">
        <v>168</v>
      </c>
      <c r="C2033" s="610"/>
      <c r="D2033" s="611" t="s">
        <v>218</v>
      </c>
      <c r="E2033" s="602"/>
      <c r="F2033" s="603">
        <v>500</v>
      </c>
      <c r="G2033" s="604">
        <v>2.5999999999999999E-3</v>
      </c>
      <c r="H2033" s="605">
        <f>IF(F2033&lt;=30,(0.51*F2033+4.28)*G2033,((0.51*30+4.28)+0.42*(F2033-30))*G2033)</f>
        <v>0.56414799999999998</v>
      </c>
      <c r="I2033" s="675"/>
      <c r="J2033" s="675"/>
      <c r="K2033" s="606">
        <f t="shared" si="355"/>
        <v>0</v>
      </c>
      <c r="L2033" s="607"/>
      <c r="M2033" s="614"/>
      <c r="N2033" s="614"/>
      <c r="O2033" s="287">
        <f t="shared" si="391"/>
        <v>0</v>
      </c>
      <c r="P2033" s="287">
        <f t="shared" si="392"/>
        <v>0</v>
      </c>
      <c r="Q2033" s="288"/>
      <c r="R2033" s="315" t="str">
        <f>IF(P2032&gt;0,"xy","")</f>
        <v/>
      </c>
      <c r="S2033" s="385" t="str">
        <f t="shared" si="389"/>
        <v/>
      </c>
    </row>
    <row r="2034" spans="2:19" ht="13.5" hidden="1" thickBot="1">
      <c r="B2034" s="609" t="s">
        <v>168</v>
      </c>
      <c r="C2034" s="610"/>
      <c r="D2034" s="611" t="s">
        <v>256</v>
      </c>
      <c r="E2034" s="602"/>
      <c r="F2034" s="603">
        <v>180</v>
      </c>
      <c r="G2034" s="604">
        <v>1.34E-2</v>
      </c>
      <c r="H2034" s="605">
        <f>IF(F2034=0,0,IF(F2034&lt;=30,(0.7*F2034+1.45)*G2034,((0.7*30+1.45)+0.58*(F2034-30))*G2034))</f>
        <v>1.4666300000000001</v>
      </c>
      <c r="I2034" s="675"/>
      <c r="J2034" s="675"/>
      <c r="K2034" s="606">
        <f t="shared" si="355"/>
        <v>0</v>
      </c>
      <c r="L2034" s="607"/>
      <c r="M2034" s="614"/>
      <c r="N2034" s="614"/>
      <c r="O2034" s="287">
        <f t="shared" si="391"/>
        <v>0</v>
      </c>
      <c r="P2034" s="287">
        <f t="shared" si="392"/>
        <v>0</v>
      </c>
      <c r="Q2034" s="288"/>
      <c r="R2034" s="315" t="str">
        <f>IF(P2032&gt;0,"xy","")</f>
        <v/>
      </c>
      <c r="S2034" s="385" t="str">
        <f t="shared" si="389"/>
        <v/>
      </c>
    </row>
    <row r="2035" spans="2:19" ht="13.5" hidden="1" thickBot="1">
      <c r="B2035" s="609" t="s">
        <v>168</v>
      </c>
      <c r="C2035" s="610"/>
      <c r="D2035" s="611" t="s">
        <v>364</v>
      </c>
      <c r="E2035" s="602"/>
      <c r="F2035" s="603">
        <v>20</v>
      </c>
      <c r="G2035" s="604">
        <v>0.39</v>
      </c>
      <c r="H2035" s="605">
        <f>IF(F2035=0,0,IF(F2035&lt;=30,(0.7*F2035+1.45)*G2035,((0.7*30+1.45)+0.58*(F2035-30))*G2035))</f>
        <v>6.0255000000000001</v>
      </c>
      <c r="I2035" s="675"/>
      <c r="J2035" s="675"/>
      <c r="K2035" s="606">
        <f t="shared" si="355"/>
        <v>0</v>
      </c>
      <c r="L2035" s="607"/>
      <c r="M2035" s="614"/>
      <c r="N2035" s="614"/>
      <c r="O2035" s="287">
        <f t="shared" si="391"/>
        <v>0</v>
      </c>
      <c r="P2035" s="287">
        <f t="shared" si="392"/>
        <v>0</v>
      </c>
      <c r="Q2035" s="288"/>
      <c r="R2035" s="243" t="str">
        <f>IF(P2032&gt;0,"xy","")</f>
        <v/>
      </c>
      <c r="S2035" s="385" t="str">
        <f t="shared" si="389"/>
        <v/>
      </c>
    </row>
    <row r="2036" spans="2:19" ht="13.5" hidden="1" thickBot="1">
      <c r="B2036" s="609" t="s">
        <v>2060</v>
      </c>
      <c r="C2036" s="610" t="s">
        <v>212</v>
      </c>
      <c r="D2036" s="611" t="s">
        <v>743</v>
      </c>
      <c r="E2036" s="602"/>
      <c r="F2036" s="603"/>
      <c r="G2036" s="604"/>
      <c r="H2036" s="605">
        <f>SUM(H2037:H2039)</f>
        <v>10.470437</v>
      </c>
      <c r="I2036" s="675">
        <v>345.85</v>
      </c>
      <c r="J2036" s="675">
        <f t="shared" ref="J2036" si="402">IF(ISBLANK(I2036),"",SUM(H2036:I2036))</f>
        <v>356.32043700000003</v>
      </c>
      <c r="K2036" s="606">
        <f t="shared" si="355"/>
        <v>432.39</v>
      </c>
      <c r="L2036" s="607" t="s">
        <v>19</v>
      </c>
      <c r="M2036" s="30"/>
      <c r="N2036" s="30"/>
      <c r="O2036" s="287">
        <f t="shared" si="391"/>
        <v>0</v>
      </c>
      <c r="P2036" s="287">
        <f t="shared" si="392"/>
        <v>0</v>
      </c>
      <c r="Q2036" s="288"/>
      <c r="S2036" s="385" t="str">
        <f t="shared" si="389"/>
        <v/>
      </c>
    </row>
    <row r="2037" spans="2:19" ht="13.5" hidden="1" thickBot="1">
      <c r="B2037" s="609" t="s">
        <v>168</v>
      </c>
      <c r="C2037" s="610"/>
      <c r="D2037" s="611" t="s">
        <v>218</v>
      </c>
      <c r="E2037" s="602"/>
      <c r="F2037" s="603">
        <v>500</v>
      </c>
      <c r="G2037" s="604">
        <v>2.8999999999999998E-3</v>
      </c>
      <c r="H2037" s="605">
        <f>IF(F2037&lt;=30,(0.51*F2037+4.28)*G2037,((0.51*30+4.28)+0.42*(F2037-30))*G2037)</f>
        <v>0.62924199999999997</v>
      </c>
      <c r="I2037" s="675"/>
      <c r="J2037" s="675"/>
      <c r="K2037" s="606">
        <f t="shared" si="355"/>
        <v>0</v>
      </c>
      <c r="L2037" s="607"/>
      <c r="M2037" s="614"/>
      <c r="N2037" s="614"/>
      <c r="O2037" s="287">
        <f t="shared" si="391"/>
        <v>0</v>
      </c>
      <c r="P2037" s="287">
        <f t="shared" si="392"/>
        <v>0</v>
      </c>
      <c r="Q2037" s="288"/>
      <c r="R2037" s="315" t="str">
        <f>IF(P2036&gt;0,"xy","")</f>
        <v/>
      </c>
      <c r="S2037" s="385" t="str">
        <f t="shared" si="389"/>
        <v/>
      </c>
    </row>
    <row r="2038" spans="2:19" ht="13.5" hidden="1" thickBot="1">
      <c r="B2038" s="609" t="s">
        <v>168</v>
      </c>
      <c r="C2038" s="610"/>
      <c r="D2038" s="611" t="s">
        <v>256</v>
      </c>
      <c r="E2038" s="602"/>
      <c r="F2038" s="603">
        <v>180</v>
      </c>
      <c r="G2038" s="604">
        <v>1.5100000000000001E-2</v>
      </c>
      <c r="H2038" s="605">
        <f>IF(F2038=0,0,IF(F2038&lt;=30,(0.7*F2038+1.45)*G2038,((0.7*30+1.45)+0.58*(F2038-30))*G2038))</f>
        <v>1.652695</v>
      </c>
      <c r="I2038" s="675"/>
      <c r="J2038" s="675"/>
      <c r="K2038" s="606">
        <f t="shared" si="355"/>
        <v>0</v>
      </c>
      <c r="L2038" s="607"/>
      <c r="M2038" s="614"/>
      <c r="N2038" s="614"/>
      <c r="O2038" s="287">
        <f t="shared" si="391"/>
        <v>0</v>
      </c>
      <c r="P2038" s="287">
        <f t="shared" si="392"/>
        <v>0</v>
      </c>
      <c r="Q2038" s="288"/>
      <c r="R2038" s="315" t="str">
        <f>IF(P2036&gt;0,"xy","")</f>
        <v/>
      </c>
      <c r="S2038" s="385" t="str">
        <f t="shared" si="389"/>
        <v/>
      </c>
    </row>
    <row r="2039" spans="2:19" ht="13.5" hidden="1" thickBot="1">
      <c r="B2039" s="609" t="s">
        <v>168</v>
      </c>
      <c r="C2039" s="610"/>
      <c r="D2039" s="611" t="s">
        <v>364</v>
      </c>
      <c r="E2039" s="602"/>
      <c r="F2039" s="603">
        <v>20</v>
      </c>
      <c r="G2039" s="604">
        <v>0.53</v>
      </c>
      <c r="H2039" s="605">
        <f>IF(F2039=0,0,IF(F2039&lt;=30,(0.7*F2039+1.45)*G2039,((0.7*30+1.45)+0.58*(F2039-30))*G2039))</f>
        <v>8.1884999999999994</v>
      </c>
      <c r="I2039" s="675"/>
      <c r="J2039" s="675"/>
      <c r="K2039" s="606">
        <f t="shared" si="355"/>
        <v>0</v>
      </c>
      <c r="L2039" s="607"/>
      <c r="M2039" s="614"/>
      <c r="N2039" s="614"/>
      <c r="O2039" s="287">
        <f t="shared" si="391"/>
        <v>0</v>
      </c>
      <c r="P2039" s="287">
        <f t="shared" si="392"/>
        <v>0</v>
      </c>
      <c r="Q2039" s="288"/>
      <c r="R2039" s="243" t="str">
        <f>IF(P2036&gt;0,"xy","")</f>
        <v/>
      </c>
      <c r="S2039" s="385" t="str">
        <f t="shared" si="389"/>
        <v/>
      </c>
    </row>
    <row r="2040" spans="2:19" ht="13.5" hidden="1" thickBot="1">
      <c r="B2040" s="609" t="s">
        <v>2061</v>
      </c>
      <c r="C2040" s="610" t="s">
        <v>212</v>
      </c>
      <c r="D2040" s="611" t="s">
        <v>403</v>
      </c>
      <c r="E2040" s="602"/>
      <c r="F2040" s="603"/>
      <c r="G2040" s="604"/>
      <c r="H2040" s="605">
        <f>SUM(H2041:H2043)</f>
        <v>12.884596</v>
      </c>
      <c r="I2040" s="675">
        <v>413.29</v>
      </c>
      <c r="J2040" s="675">
        <f t="shared" ref="J2040" si="403">IF(ISBLANK(I2040),"",SUM(H2040:I2040))</f>
        <v>426.17459600000001</v>
      </c>
      <c r="K2040" s="606">
        <f t="shared" si="355"/>
        <v>517.16</v>
      </c>
      <c r="L2040" s="607" t="s">
        <v>19</v>
      </c>
      <c r="M2040" s="30"/>
      <c r="N2040" s="30"/>
      <c r="O2040" s="287">
        <f t="shared" si="391"/>
        <v>0</v>
      </c>
      <c r="P2040" s="287">
        <f t="shared" si="392"/>
        <v>0</v>
      </c>
      <c r="Q2040" s="288"/>
      <c r="S2040" s="385" t="str">
        <f t="shared" si="389"/>
        <v/>
      </c>
    </row>
    <row r="2041" spans="2:19" ht="13.5" hidden="1" thickBot="1">
      <c r="B2041" s="609" t="s">
        <v>168</v>
      </c>
      <c r="C2041" s="610"/>
      <c r="D2041" s="611" t="s">
        <v>218</v>
      </c>
      <c r="E2041" s="602"/>
      <c r="F2041" s="603">
        <v>500</v>
      </c>
      <c r="G2041" s="604">
        <v>3.2000000000000002E-3</v>
      </c>
      <c r="H2041" s="605">
        <f>IF(F2041&lt;=30,(0.51*F2041+4.28)*G2041,((0.51*30+4.28)+0.42*(F2041-30))*G2041)</f>
        <v>0.69433600000000006</v>
      </c>
      <c r="I2041" s="675"/>
      <c r="J2041" s="675"/>
      <c r="K2041" s="606">
        <f t="shared" si="355"/>
        <v>0</v>
      </c>
      <c r="L2041" s="607"/>
      <c r="M2041" s="614"/>
      <c r="N2041" s="614"/>
      <c r="O2041" s="287">
        <f t="shared" si="391"/>
        <v>0</v>
      </c>
      <c r="P2041" s="287">
        <f t="shared" si="392"/>
        <v>0</v>
      </c>
      <c r="Q2041" s="288"/>
      <c r="R2041" s="315" t="str">
        <f>IF(P2040&gt;0,"xy","")</f>
        <v/>
      </c>
      <c r="S2041" s="385" t="str">
        <f t="shared" si="389"/>
        <v/>
      </c>
    </row>
    <row r="2042" spans="2:19" ht="13.5" hidden="1" thickBot="1">
      <c r="B2042" s="609" t="s">
        <v>168</v>
      </c>
      <c r="C2042" s="610"/>
      <c r="D2042" s="611" t="s">
        <v>256</v>
      </c>
      <c r="E2042" s="602"/>
      <c r="F2042" s="603">
        <v>180</v>
      </c>
      <c r="G2042" s="604">
        <v>1.6799999999999999E-2</v>
      </c>
      <c r="H2042" s="605">
        <f>IF(F2042=0,0,IF(F2042&lt;=30,(0.7*F2042+1.45)*G2042,((0.7*30+1.45)+0.58*(F2042-30))*G2042))</f>
        <v>1.83876</v>
      </c>
      <c r="I2042" s="675"/>
      <c r="J2042" s="675"/>
      <c r="K2042" s="606">
        <f t="shared" si="355"/>
        <v>0</v>
      </c>
      <c r="L2042" s="607"/>
      <c r="M2042" s="614"/>
      <c r="N2042" s="614"/>
      <c r="O2042" s="287">
        <f t="shared" si="391"/>
        <v>0</v>
      </c>
      <c r="P2042" s="287">
        <f t="shared" si="392"/>
        <v>0</v>
      </c>
      <c r="Q2042" s="288"/>
      <c r="R2042" s="315" t="str">
        <f>IF(P2040&gt;0,"xy","")</f>
        <v/>
      </c>
      <c r="S2042" s="385" t="str">
        <f t="shared" si="389"/>
        <v/>
      </c>
    </row>
    <row r="2043" spans="2:19" ht="13.5" hidden="1" thickBot="1">
      <c r="B2043" s="609" t="s">
        <v>168</v>
      </c>
      <c r="C2043" s="610"/>
      <c r="D2043" s="611" t="s">
        <v>364</v>
      </c>
      <c r="E2043" s="602"/>
      <c r="F2043" s="603">
        <v>20</v>
      </c>
      <c r="G2043" s="604">
        <v>0.67</v>
      </c>
      <c r="H2043" s="605">
        <f>IF(F2043=0,0,IF(F2043&lt;=30,(0.7*F2043+1.45)*G2043,((0.7*30+1.45)+0.58*(F2043-30))*G2043))</f>
        <v>10.3515</v>
      </c>
      <c r="I2043" s="675"/>
      <c r="J2043" s="675"/>
      <c r="K2043" s="606">
        <f t="shared" si="355"/>
        <v>0</v>
      </c>
      <c r="L2043" s="607"/>
      <c r="M2043" s="614"/>
      <c r="N2043" s="614"/>
      <c r="O2043" s="287">
        <f t="shared" si="391"/>
        <v>0</v>
      </c>
      <c r="P2043" s="287">
        <f t="shared" si="392"/>
        <v>0</v>
      </c>
      <c r="Q2043" s="288"/>
      <c r="R2043" s="243" t="str">
        <f>IF(P2040&gt;0,"xy","")</f>
        <v/>
      </c>
      <c r="S2043" s="385" t="str">
        <f t="shared" si="389"/>
        <v/>
      </c>
    </row>
    <row r="2044" spans="2:19" ht="13.5" hidden="1" thickBot="1">
      <c r="B2044" s="609" t="s">
        <v>2068</v>
      </c>
      <c r="C2044" s="610" t="s">
        <v>212</v>
      </c>
      <c r="D2044" s="611" t="s">
        <v>744</v>
      </c>
      <c r="E2044" s="602"/>
      <c r="F2044" s="603"/>
      <c r="G2044" s="604"/>
      <c r="H2044" s="605">
        <f>SUM(H2045:H2047)</f>
        <v>16.067119999999999</v>
      </c>
      <c r="I2044" s="675">
        <v>493.89000000000004</v>
      </c>
      <c r="J2044" s="675">
        <f t="shared" ref="J2044" si="404">IF(ISBLANK(I2044),"",SUM(H2044:I2044))</f>
        <v>509.95712000000003</v>
      </c>
      <c r="K2044" s="606">
        <f t="shared" si="355"/>
        <v>618.83000000000004</v>
      </c>
      <c r="L2044" s="607" t="s">
        <v>19</v>
      </c>
      <c r="M2044" s="30"/>
      <c r="N2044" s="30"/>
      <c r="O2044" s="287">
        <f t="shared" si="391"/>
        <v>0</v>
      </c>
      <c r="P2044" s="287">
        <f t="shared" si="392"/>
        <v>0</v>
      </c>
      <c r="Q2044" s="288"/>
      <c r="S2044" s="385" t="str">
        <f t="shared" si="389"/>
        <v/>
      </c>
    </row>
    <row r="2045" spans="2:19" ht="13.5" hidden="1" thickBot="1">
      <c r="B2045" s="609" t="s">
        <v>168</v>
      </c>
      <c r="C2045" s="610"/>
      <c r="D2045" s="611" t="s">
        <v>218</v>
      </c>
      <c r="E2045" s="602"/>
      <c r="F2045" s="603">
        <v>500</v>
      </c>
      <c r="G2045" s="604">
        <v>4.0000000000000001E-3</v>
      </c>
      <c r="H2045" s="605">
        <f>IF(F2045&lt;=30,(0.51*F2045+4.28)*G2045,((0.51*30+4.28)+0.42*(F2045-30))*G2045)</f>
        <v>0.86792000000000014</v>
      </c>
      <c r="I2045" s="675"/>
      <c r="J2045" s="675"/>
      <c r="K2045" s="606">
        <f t="shared" si="355"/>
        <v>0</v>
      </c>
      <c r="L2045" s="607"/>
      <c r="M2045" s="614"/>
      <c r="N2045" s="614"/>
      <c r="O2045" s="287">
        <f t="shared" si="391"/>
        <v>0</v>
      </c>
      <c r="P2045" s="287">
        <f t="shared" si="392"/>
        <v>0</v>
      </c>
      <c r="Q2045" s="288"/>
      <c r="R2045" s="315" t="str">
        <f>IF(P2044&gt;0,"xy","")</f>
        <v/>
      </c>
      <c r="S2045" s="385" t="str">
        <f t="shared" si="389"/>
        <v/>
      </c>
    </row>
    <row r="2046" spans="2:19" ht="13.5" hidden="1" thickBot="1">
      <c r="B2046" s="609" t="s">
        <v>168</v>
      </c>
      <c r="C2046" s="610"/>
      <c r="D2046" s="611" t="s">
        <v>256</v>
      </c>
      <c r="E2046" s="602"/>
      <c r="F2046" s="603">
        <v>180</v>
      </c>
      <c r="G2046" s="604">
        <v>2.1000000000000001E-2</v>
      </c>
      <c r="H2046" s="605">
        <f>IF(F2046=0,0,IF(F2046&lt;=30,(0.7*F2046+1.45)*G2046,((0.7*30+1.45)+0.58*(F2046-30))*G2046))</f>
        <v>2.2984500000000003</v>
      </c>
      <c r="I2046" s="675"/>
      <c r="J2046" s="675"/>
      <c r="K2046" s="606">
        <f t="shared" si="355"/>
        <v>0</v>
      </c>
      <c r="L2046" s="607"/>
      <c r="M2046" s="614"/>
      <c r="N2046" s="614"/>
      <c r="O2046" s="287">
        <f t="shared" si="391"/>
        <v>0</v>
      </c>
      <c r="P2046" s="287">
        <f t="shared" si="392"/>
        <v>0</v>
      </c>
      <c r="Q2046" s="288"/>
      <c r="R2046" s="315" t="str">
        <f>IF(P2044&gt;0,"xy","")</f>
        <v/>
      </c>
      <c r="S2046" s="385" t="str">
        <f t="shared" si="389"/>
        <v/>
      </c>
    </row>
    <row r="2047" spans="2:19" ht="13.5" hidden="1" thickBot="1">
      <c r="B2047" s="609" t="s">
        <v>168</v>
      </c>
      <c r="C2047" s="610"/>
      <c r="D2047" s="611" t="s">
        <v>364</v>
      </c>
      <c r="E2047" s="602"/>
      <c r="F2047" s="603">
        <v>20</v>
      </c>
      <c r="G2047" s="604">
        <v>0.83499999999999996</v>
      </c>
      <c r="H2047" s="605">
        <f>IF(F2047=0,0,IF(F2047&lt;=30,(0.7*F2047+1.45)*G2047,((0.7*30+1.45)+0.58*(F2047-30))*G2047))</f>
        <v>12.900749999999999</v>
      </c>
      <c r="I2047" s="675"/>
      <c r="J2047" s="675"/>
      <c r="K2047" s="606">
        <f t="shared" si="355"/>
        <v>0</v>
      </c>
      <c r="L2047" s="607"/>
      <c r="M2047" s="614"/>
      <c r="N2047" s="614"/>
      <c r="O2047" s="287">
        <f t="shared" si="391"/>
        <v>0</v>
      </c>
      <c r="P2047" s="287">
        <f t="shared" si="392"/>
        <v>0</v>
      </c>
      <c r="Q2047" s="288"/>
      <c r="R2047" s="243" t="str">
        <f>IF(P2044&gt;0,"xy","")</f>
        <v/>
      </c>
      <c r="S2047" s="385" t="str">
        <f t="shared" si="389"/>
        <v/>
      </c>
    </row>
    <row r="2048" spans="2:19" ht="13.5" hidden="1" thickBot="1">
      <c r="B2048" s="609" t="s">
        <v>2069</v>
      </c>
      <c r="C2048" s="610" t="s">
        <v>212</v>
      </c>
      <c r="D2048" s="611" t="s">
        <v>404</v>
      </c>
      <c r="E2048" s="602"/>
      <c r="F2048" s="603"/>
      <c r="G2048" s="604"/>
      <c r="H2048" s="605">
        <f>SUM(H2049:H2051)</f>
        <v>19.249644</v>
      </c>
      <c r="I2048" s="675">
        <v>574.49</v>
      </c>
      <c r="J2048" s="675">
        <f t="shared" ref="J2048" si="405">IF(ISBLANK(I2048),"",SUM(H2048:I2048))</f>
        <v>593.739644</v>
      </c>
      <c r="K2048" s="606">
        <f t="shared" si="355"/>
        <v>720.5</v>
      </c>
      <c r="L2048" s="607" t="s">
        <v>19</v>
      </c>
      <c r="M2048" s="30"/>
      <c r="N2048" s="30"/>
      <c r="O2048" s="287">
        <f t="shared" si="391"/>
        <v>0</v>
      </c>
      <c r="P2048" s="287">
        <f t="shared" si="392"/>
        <v>0</v>
      </c>
      <c r="Q2048" s="288"/>
      <c r="S2048" s="385" t="str">
        <f t="shared" si="389"/>
        <v/>
      </c>
    </row>
    <row r="2049" spans="2:19" ht="13.5" hidden="1" thickBot="1">
      <c r="B2049" s="609" t="s">
        <v>168</v>
      </c>
      <c r="C2049" s="610"/>
      <c r="D2049" s="611" t="s">
        <v>218</v>
      </c>
      <c r="E2049" s="602"/>
      <c r="F2049" s="603">
        <v>500</v>
      </c>
      <c r="G2049" s="604">
        <v>4.7999999999999996E-3</v>
      </c>
      <c r="H2049" s="605">
        <f>IF(F2049&lt;=30,(0.51*F2049+4.28)*G2049,((0.51*30+4.28)+0.42*(F2049-30))*G2049)</f>
        <v>1.041504</v>
      </c>
      <c r="I2049" s="675"/>
      <c r="J2049" s="675"/>
      <c r="K2049" s="606">
        <f t="shared" si="355"/>
        <v>0</v>
      </c>
      <c r="L2049" s="607"/>
      <c r="M2049" s="614"/>
      <c r="N2049" s="614"/>
      <c r="O2049" s="287">
        <f t="shared" si="391"/>
        <v>0</v>
      </c>
      <c r="P2049" s="287">
        <f t="shared" si="392"/>
        <v>0</v>
      </c>
      <c r="Q2049" s="288"/>
      <c r="R2049" s="315" t="str">
        <f>IF(P2048&gt;0,"xy","")</f>
        <v/>
      </c>
      <c r="S2049" s="385" t="str">
        <f t="shared" si="389"/>
        <v/>
      </c>
    </row>
    <row r="2050" spans="2:19" ht="13.5" hidden="1" thickBot="1">
      <c r="B2050" s="609" t="s">
        <v>168</v>
      </c>
      <c r="C2050" s="610"/>
      <c r="D2050" s="611" t="s">
        <v>256</v>
      </c>
      <c r="E2050" s="602"/>
      <c r="F2050" s="603">
        <v>180</v>
      </c>
      <c r="G2050" s="604">
        <v>2.52E-2</v>
      </c>
      <c r="H2050" s="605">
        <f>IF(F2050=0,0,IF(F2050&lt;=30,(0.7*F2050+1.45)*G2050,((0.7*30+1.45)+0.58*(F2050-30))*G2050))</f>
        <v>2.75814</v>
      </c>
      <c r="I2050" s="675"/>
      <c r="J2050" s="675"/>
      <c r="K2050" s="606">
        <f t="shared" si="355"/>
        <v>0</v>
      </c>
      <c r="L2050" s="607"/>
      <c r="M2050" s="614"/>
      <c r="N2050" s="614"/>
      <c r="O2050" s="287">
        <f t="shared" si="391"/>
        <v>0</v>
      </c>
      <c r="P2050" s="287">
        <f t="shared" si="392"/>
        <v>0</v>
      </c>
      <c r="Q2050" s="288"/>
      <c r="R2050" s="315" t="str">
        <f>IF(P2048&gt;0,"xy","")</f>
        <v/>
      </c>
      <c r="S2050" s="385" t="str">
        <f t="shared" si="389"/>
        <v/>
      </c>
    </row>
    <row r="2051" spans="2:19" ht="13.5" hidden="1" thickBot="1">
      <c r="B2051" s="609" t="s">
        <v>168</v>
      </c>
      <c r="C2051" s="610"/>
      <c r="D2051" s="611" t="s">
        <v>364</v>
      </c>
      <c r="E2051" s="602"/>
      <c r="F2051" s="603">
        <v>20</v>
      </c>
      <c r="G2051" s="604">
        <v>1</v>
      </c>
      <c r="H2051" s="605">
        <f>IF(F2051=0,0,IF(F2051&lt;=30,(0.7*F2051+1.45)*G2051,((0.7*30+1.45)+0.58*(F2051-30))*G2051))</f>
        <v>15.45</v>
      </c>
      <c r="I2051" s="675"/>
      <c r="J2051" s="675"/>
      <c r="K2051" s="606">
        <f t="shared" si="355"/>
        <v>0</v>
      </c>
      <c r="L2051" s="607"/>
      <c r="M2051" s="614"/>
      <c r="N2051" s="614"/>
      <c r="O2051" s="287">
        <f t="shared" si="391"/>
        <v>0</v>
      </c>
      <c r="P2051" s="287">
        <f t="shared" si="392"/>
        <v>0</v>
      </c>
      <c r="Q2051" s="288"/>
      <c r="R2051" s="243" t="str">
        <f>IF(P2048&gt;0,"xy","")</f>
        <v/>
      </c>
      <c r="S2051" s="385" t="str">
        <f t="shared" si="389"/>
        <v/>
      </c>
    </row>
    <row r="2052" spans="2:19" ht="13.5" hidden="1" thickBot="1">
      <c r="B2052" s="609" t="s">
        <v>2071</v>
      </c>
      <c r="C2052" s="610" t="s">
        <v>212</v>
      </c>
      <c r="D2052" s="611" t="s">
        <v>405</v>
      </c>
      <c r="E2052" s="602"/>
      <c r="F2052" s="603"/>
      <c r="G2052" s="604"/>
      <c r="H2052" s="605">
        <f>SUM(H2053:H2055)</f>
        <v>27.335889999999999</v>
      </c>
      <c r="I2052" s="675">
        <v>752.53</v>
      </c>
      <c r="J2052" s="675">
        <f t="shared" ref="J2052" si="406">IF(ISBLANK(I2052),"",SUM(H2052:I2052))</f>
        <v>779.86588999999992</v>
      </c>
      <c r="K2052" s="606">
        <f t="shared" ref="K2052:K2120" si="407">IF(ISBLANK(I2052),0,ROUND(J2052*(1+$F$10)*(1+$F$11*E2052),2))</f>
        <v>946.37</v>
      </c>
      <c r="L2052" s="607" t="s">
        <v>19</v>
      </c>
      <c r="M2052" s="30"/>
      <c r="N2052" s="30"/>
      <c r="O2052" s="287">
        <f t="shared" si="391"/>
        <v>0</v>
      </c>
      <c r="P2052" s="287">
        <f t="shared" si="392"/>
        <v>0</v>
      </c>
      <c r="Q2052" s="288"/>
      <c r="S2052" s="385" t="str">
        <f t="shared" si="389"/>
        <v/>
      </c>
    </row>
    <row r="2053" spans="2:19" ht="13.5" hidden="1" thickBot="1">
      <c r="B2053" s="609" t="s">
        <v>168</v>
      </c>
      <c r="C2053" s="610"/>
      <c r="D2053" s="611" t="s">
        <v>218</v>
      </c>
      <c r="E2053" s="602"/>
      <c r="F2053" s="603">
        <v>500</v>
      </c>
      <c r="G2053" s="604">
        <v>6.4999999999999997E-3</v>
      </c>
      <c r="H2053" s="605">
        <f>IF(F2053&lt;=30,(0.51*F2053+4.28)*G2053,((0.51*30+4.28)+0.42*(F2053-30))*G2053)</f>
        <v>1.4103700000000001</v>
      </c>
      <c r="I2053" s="675"/>
      <c r="J2053" s="675"/>
      <c r="K2053" s="606">
        <f t="shared" si="407"/>
        <v>0</v>
      </c>
      <c r="L2053" s="607"/>
      <c r="M2053" s="614"/>
      <c r="N2053" s="614"/>
      <c r="O2053" s="287">
        <f t="shared" si="391"/>
        <v>0</v>
      </c>
      <c r="P2053" s="287">
        <f t="shared" si="392"/>
        <v>0</v>
      </c>
      <c r="Q2053" s="288"/>
      <c r="R2053" s="315" t="str">
        <f>IF(P2052&gt;0,"xy","")</f>
        <v/>
      </c>
      <c r="S2053" s="385" t="str">
        <f t="shared" si="389"/>
        <v/>
      </c>
    </row>
    <row r="2054" spans="2:19" ht="13.5" hidden="1" thickBot="1">
      <c r="B2054" s="609" t="s">
        <v>168</v>
      </c>
      <c r="C2054" s="610"/>
      <c r="D2054" s="611" t="s">
        <v>256</v>
      </c>
      <c r="E2054" s="602"/>
      <c r="F2054" s="603">
        <v>180</v>
      </c>
      <c r="G2054" s="604">
        <v>3.3599999999999998E-2</v>
      </c>
      <c r="H2054" s="605">
        <f>IF(F2054=0,0,IF(F2054&lt;=30,(0.7*F2054+1.45)*G2054,((0.7*30+1.45)+0.58*(F2054-30))*G2054))</f>
        <v>3.6775199999999999</v>
      </c>
      <c r="I2054" s="675"/>
      <c r="J2054" s="675"/>
      <c r="K2054" s="606">
        <f t="shared" si="407"/>
        <v>0</v>
      </c>
      <c r="L2054" s="607"/>
      <c r="M2054" s="614"/>
      <c r="N2054" s="614"/>
      <c r="O2054" s="287">
        <f t="shared" si="391"/>
        <v>0</v>
      </c>
      <c r="P2054" s="287">
        <f t="shared" si="392"/>
        <v>0</v>
      </c>
      <c r="Q2054" s="288"/>
      <c r="R2054" s="315" t="str">
        <f>IF(P2052&gt;0,"xy","")</f>
        <v/>
      </c>
      <c r="S2054" s="385" t="str">
        <f t="shared" si="389"/>
        <v/>
      </c>
    </row>
    <row r="2055" spans="2:19" ht="13.5" hidden="1" thickBot="1">
      <c r="B2055" s="609" t="s">
        <v>168</v>
      </c>
      <c r="C2055" s="610"/>
      <c r="D2055" s="611" t="s">
        <v>364</v>
      </c>
      <c r="E2055" s="602"/>
      <c r="F2055" s="603">
        <v>20</v>
      </c>
      <c r="G2055" s="604">
        <v>1.44</v>
      </c>
      <c r="H2055" s="605">
        <f>IF(F2055=0,0,IF(F2055&lt;=30,(0.7*F2055+1.45)*G2055,((0.7*30+1.45)+0.58*(F2055-30))*G2055))</f>
        <v>22.247999999999998</v>
      </c>
      <c r="I2055" s="675"/>
      <c r="J2055" s="675"/>
      <c r="K2055" s="606">
        <f t="shared" si="407"/>
        <v>0</v>
      </c>
      <c r="L2055" s="607"/>
      <c r="M2055" s="614"/>
      <c r="N2055" s="614"/>
      <c r="O2055" s="287">
        <f t="shared" si="391"/>
        <v>0</v>
      </c>
      <c r="P2055" s="287">
        <f t="shared" si="392"/>
        <v>0</v>
      </c>
      <c r="Q2055" s="288"/>
      <c r="R2055" s="243" t="str">
        <f>IF(P2052&gt;0,"xy","")</f>
        <v/>
      </c>
      <c r="S2055" s="385" t="str">
        <f t="shared" si="389"/>
        <v/>
      </c>
    </row>
    <row r="2056" spans="2:19" ht="13.5" hidden="1" thickBot="1">
      <c r="B2056" s="609" t="s">
        <v>2074</v>
      </c>
      <c r="C2056" s="610" t="s">
        <v>212</v>
      </c>
      <c r="D2056" s="611" t="s">
        <v>406</v>
      </c>
      <c r="E2056" s="602"/>
      <c r="F2056" s="603"/>
      <c r="G2056" s="604"/>
      <c r="H2056" s="605">
        <f>SUM(H2057:H2059)</f>
        <v>31.846937999999998</v>
      </c>
      <c r="I2056" s="675">
        <v>1246.07</v>
      </c>
      <c r="J2056" s="675">
        <f t="shared" ref="J2056" si="408">IF(ISBLANK(I2056),"",SUM(H2056:I2056))</f>
        <v>1277.9169379999998</v>
      </c>
      <c r="K2056" s="606">
        <f t="shared" si="407"/>
        <v>1550.75</v>
      </c>
      <c r="L2056" s="607" t="s">
        <v>19</v>
      </c>
      <c r="M2056" s="30"/>
      <c r="N2056" s="30"/>
      <c r="O2056" s="287">
        <f t="shared" si="391"/>
        <v>0</v>
      </c>
      <c r="P2056" s="287">
        <f t="shared" si="392"/>
        <v>0</v>
      </c>
      <c r="Q2056" s="288"/>
      <c r="S2056" s="385" t="str">
        <f t="shared" ref="S2056:S2119" si="409">IF(R2056="x","x",IF(R2056="y","x",IF(R2056="xy","x",IF(P2056&gt;0,"x",""))))</f>
        <v/>
      </c>
    </row>
    <row r="2057" spans="2:19" ht="13.5" hidden="1" thickBot="1">
      <c r="B2057" s="609" t="s">
        <v>168</v>
      </c>
      <c r="C2057" s="610"/>
      <c r="D2057" s="611" t="s">
        <v>218</v>
      </c>
      <c r="E2057" s="602"/>
      <c r="F2057" s="603">
        <v>500</v>
      </c>
      <c r="G2057" s="604">
        <v>8.0999999999999996E-3</v>
      </c>
      <c r="H2057" s="605">
        <f>IF(F2057&lt;=30,(0.51*F2057+4.28)*G2057,((0.51*30+4.28)+0.42*(F2057-30))*G2057)</f>
        <v>1.757538</v>
      </c>
      <c r="I2057" s="675"/>
      <c r="J2057" s="675" t="str">
        <f t="shared" ref="J2057:J2059" si="410">IF(ISBLANK(I2057),"",SUM(H2057:I2057))</f>
        <v/>
      </c>
      <c r="K2057" s="606">
        <f t="shared" si="407"/>
        <v>0</v>
      </c>
      <c r="L2057" s="607"/>
      <c r="M2057" s="614"/>
      <c r="N2057" s="614"/>
      <c r="O2057" s="287">
        <f t="shared" si="391"/>
        <v>0</v>
      </c>
      <c r="P2057" s="287">
        <f t="shared" si="392"/>
        <v>0</v>
      </c>
      <c r="Q2057" s="288"/>
      <c r="R2057" s="315" t="str">
        <f>IF(P2056&gt;0,"xy","")</f>
        <v/>
      </c>
      <c r="S2057" s="385" t="str">
        <f t="shared" si="409"/>
        <v/>
      </c>
    </row>
    <row r="2058" spans="2:19" ht="13.5" hidden="1" thickBot="1">
      <c r="B2058" s="609" t="s">
        <v>168</v>
      </c>
      <c r="C2058" s="610"/>
      <c r="D2058" s="611" t="s">
        <v>256</v>
      </c>
      <c r="E2058" s="602"/>
      <c r="F2058" s="603">
        <v>180</v>
      </c>
      <c r="G2058" s="604">
        <v>4.2000000000000003E-2</v>
      </c>
      <c r="H2058" s="605">
        <f>IF(F2058=0,0,IF(F2058&lt;=30,(0.7*F2058+1.45)*G2058,((0.7*30+1.45)+0.58*(F2058-30))*G2058))</f>
        <v>4.5969000000000007</v>
      </c>
      <c r="I2058" s="675"/>
      <c r="J2058" s="675" t="str">
        <f t="shared" si="410"/>
        <v/>
      </c>
      <c r="K2058" s="606">
        <f t="shared" si="407"/>
        <v>0</v>
      </c>
      <c r="L2058" s="607"/>
      <c r="M2058" s="614"/>
      <c r="N2058" s="614"/>
      <c r="O2058" s="287">
        <f t="shared" si="391"/>
        <v>0</v>
      </c>
      <c r="P2058" s="287">
        <f t="shared" si="392"/>
        <v>0</v>
      </c>
      <c r="Q2058" s="288"/>
      <c r="R2058" s="315" t="str">
        <f>IF(P2056&gt;0,"xy","")</f>
        <v/>
      </c>
      <c r="S2058" s="385" t="str">
        <f t="shared" si="409"/>
        <v/>
      </c>
    </row>
    <row r="2059" spans="2:19" ht="13.5" hidden="1" thickBot="1">
      <c r="B2059" s="609" t="s">
        <v>168</v>
      </c>
      <c r="C2059" s="610"/>
      <c r="D2059" s="611" t="s">
        <v>364</v>
      </c>
      <c r="E2059" s="602"/>
      <c r="F2059" s="603">
        <v>20</v>
      </c>
      <c r="G2059" s="604">
        <v>1.65</v>
      </c>
      <c r="H2059" s="605">
        <f>IF(F2059=0,0,IF(F2059&lt;=30,(0.7*F2059+1.45)*G2059,((0.7*30+1.45)+0.58*(F2059-30))*G2059))</f>
        <v>25.492499999999996</v>
      </c>
      <c r="I2059" s="675"/>
      <c r="J2059" s="675" t="str">
        <f t="shared" si="410"/>
        <v/>
      </c>
      <c r="K2059" s="606">
        <f t="shared" si="407"/>
        <v>0</v>
      </c>
      <c r="L2059" s="607"/>
      <c r="M2059" s="614"/>
      <c r="N2059" s="614"/>
      <c r="O2059" s="287">
        <f t="shared" si="391"/>
        <v>0</v>
      </c>
      <c r="P2059" s="287">
        <f t="shared" si="392"/>
        <v>0</v>
      </c>
      <c r="Q2059" s="288"/>
      <c r="R2059" s="243" t="str">
        <f>IF(P2056&gt;0,"xy","")</f>
        <v/>
      </c>
      <c r="S2059" s="385" t="str">
        <f t="shared" si="409"/>
        <v/>
      </c>
    </row>
    <row r="2060" spans="2:19" ht="13.5" hidden="1" thickBot="1">
      <c r="B2060" s="609" t="s">
        <v>2075</v>
      </c>
      <c r="C2060" s="610" t="s">
        <v>212</v>
      </c>
      <c r="D2060" s="611" t="s">
        <v>407</v>
      </c>
      <c r="E2060" s="602"/>
      <c r="F2060" s="603"/>
      <c r="G2060" s="604"/>
      <c r="H2060" s="605">
        <f>SUM(H2061:H2063)</f>
        <v>38.427785999999998</v>
      </c>
      <c r="I2060" s="675">
        <v>1679.046</v>
      </c>
      <c r="J2060" s="675">
        <f t="shared" ref="J2060" si="411">IF(ISBLANK(I2060),"",SUM(H2060:I2060))</f>
        <v>1717.473786</v>
      </c>
      <c r="K2060" s="606">
        <f t="shared" si="407"/>
        <v>2084.15</v>
      </c>
      <c r="L2060" s="607" t="s">
        <v>19</v>
      </c>
      <c r="M2060" s="30"/>
      <c r="N2060" s="30"/>
      <c r="O2060" s="287">
        <f t="shared" si="391"/>
        <v>0</v>
      </c>
      <c r="P2060" s="287">
        <f t="shared" si="392"/>
        <v>0</v>
      </c>
      <c r="Q2060" s="288"/>
      <c r="S2060" s="385" t="str">
        <f t="shared" si="409"/>
        <v/>
      </c>
    </row>
    <row r="2061" spans="2:19" ht="13.5" hidden="1" thickBot="1">
      <c r="B2061" s="609" t="s">
        <v>168</v>
      </c>
      <c r="C2061" s="610"/>
      <c r="D2061" s="611" t="s">
        <v>218</v>
      </c>
      <c r="E2061" s="602"/>
      <c r="F2061" s="603">
        <v>500</v>
      </c>
      <c r="G2061" s="604">
        <v>9.1999999999999998E-3</v>
      </c>
      <c r="H2061" s="605">
        <f>IF(F2061&lt;=30,(0.51*F2061+4.28)*G2061,((0.51*30+4.28)+0.42*(F2061-30))*G2061)</f>
        <v>1.9962160000000002</v>
      </c>
      <c r="I2061" s="675"/>
      <c r="J2061" s="675"/>
      <c r="K2061" s="606">
        <f t="shared" si="407"/>
        <v>0</v>
      </c>
      <c r="L2061" s="607"/>
      <c r="M2061" s="614"/>
      <c r="N2061" s="614"/>
      <c r="O2061" s="287">
        <f t="shared" si="391"/>
        <v>0</v>
      </c>
      <c r="P2061" s="287">
        <f t="shared" si="392"/>
        <v>0</v>
      </c>
      <c r="Q2061" s="288"/>
      <c r="R2061" s="315" t="str">
        <f>IF(P2060&gt;0,"xy","")</f>
        <v/>
      </c>
      <c r="S2061" s="385" t="str">
        <f t="shared" si="409"/>
        <v/>
      </c>
    </row>
    <row r="2062" spans="2:19" ht="13.5" hidden="1" thickBot="1">
      <c r="B2062" s="609" t="s">
        <v>168</v>
      </c>
      <c r="C2062" s="610"/>
      <c r="D2062" s="611" t="s">
        <v>256</v>
      </c>
      <c r="E2062" s="602"/>
      <c r="F2062" s="603">
        <v>180</v>
      </c>
      <c r="G2062" s="604">
        <v>4.7899999999999998E-2</v>
      </c>
      <c r="H2062" s="605">
        <f>IF(F2062=0,0,IF(F2062&lt;=30,(0.7*F2062+1.45)*G2062,((0.7*30+1.45)+0.58*(F2062-30))*G2062))</f>
        <v>5.2426550000000001</v>
      </c>
      <c r="I2062" s="675"/>
      <c r="J2062" s="675"/>
      <c r="K2062" s="606">
        <f t="shared" si="407"/>
        <v>0</v>
      </c>
      <c r="L2062" s="607"/>
      <c r="M2062" s="614"/>
      <c r="N2062" s="614"/>
      <c r="O2062" s="287">
        <f t="shared" si="391"/>
        <v>0</v>
      </c>
      <c r="P2062" s="287">
        <f t="shared" si="392"/>
        <v>0</v>
      </c>
      <c r="Q2062" s="288"/>
      <c r="R2062" s="315" t="str">
        <f>IF(P2060&gt;0,"xy","")</f>
        <v/>
      </c>
      <c r="S2062" s="385" t="str">
        <f t="shared" si="409"/>
        <v/>
      </c>
    </row>
    <row r="2063" spans="2:19" ht="13.5" hidden="1" thickBot="1">
      <c r="B2063" s="609" t="s">
        <v>168</v>
      </c>
      <c r="C2063" s="610"/>
      <c r="D2063" s="611" t="s">
        <v>364</v>
      </c>
      <c r="E2063" s="602"/>
      <c r="F2063" s="603">
        <v>20</v>
      </c>
      <c r="G2063" s="604">
        <v>2.0186999999999999</v>
      </c>
      <c r="H2063" s="605">
        <f>IF(F2063=0,0,IF(F2063&lt;=30,(0.7*F2063+1.45)*G2063,((0.7*30+1.45)+0.58*(F2063-30))*G2063))</f>
        <v>31.188914999999998</v>
      </c>
      <c r="I2063" s="675"/>
      <c r="J2063" s="675"/>
      <c r="K2063" s="606">
        <f t="shared" si="407"/>
        <v>0</v>
      </c>
      <c r="L2063" s="607"/>
      <c r="M2063" s="614"/>
      <c r="N2063" s="614"/>
      <c r="O2063" s="287">
        <f t="shared" si="391"/>
        <v>0</v>
      </c>
      <c r="P2063" s="287">
        <f t="shared" si="392"/>
        <v>0</v>
      </c>
      <c r="Q2063" s="288"/>
      <c r="R2063" s="243" t="str">
        <f>IF(P2060&gt;0,"xy","")</f>
        <v/>
      </c>
      <c r="S2063" s="385" t="str">
        <f t="shared" si="409"/>
        <v/>
      </c>
    </row>
    <row r="2064" spans="2:19" ht="13.5" hidden="1" thickBot="1">
      <c r="B2064" s="609" t="s">
        <v>2077</v>
      </c>
      <c r="C2064" s="610" t="s">
        <v>212</v>
      </c>
      <c r="D2064" s="611" t="s">
        <v>408</v>
      </c>
      <c r="E2064" s="602"/>
      <c r="F2064" s="603"/>
      <c r="G2064" s="604"/>
      <c r="H2064" s="605">
        <f>SUM(H2065:H2067)</f>
        <v>40.838485999999996</v>
      </c>
      <c r="I2064" s="675">
        <v>2599.12</v>
      </c>
      <c r="J2064" s="675">
        <f t="shared" ref="J2064" si="412">IF(ISBLANK(I2064),"",SUM(H2064:I2064))</f>
        <v>2639.958486</v>
      </c>
      <c r="K2064" s="606">
        <f t="shared" si="407"/>
        <v>3203.59</v>
      </c>
      <c r="L2064" s="607" t="s">
        <v>19</v>
      </c>
      <c r="M2064" s="30"/>
      <c r="N2064" s="30"/>
      <c r="O2064" s="287">
        <f t="shared" si="391"/>
        <v>0</v>
      </c>
      <c r="P2064" s="287">
        <f t="shared" si="392"/>
        <v>0</v>
      </c>
      <c r="Q2064" s="288"/>
      <c r="S2064" s="385" t="str">
        <f t="shared" si="409"/>
        <v/>
      </c>
    </row>
    <row r="2065" spans="2:19" ht="13.5" hidden="1" thickBot="1">
      <c r="B2065" s="609" t="s">
        <v>168</v>
      </c>
      <c r="C2065" s="610"/>
      <c r="D2065" s="611" t="s">
        <v>218</v>
      </c>
      <c r="E2065" s="602"/>
      <c r="F2065" s="603">
        <v>500</v>
      </c>
      <c r="G2065" s="604">
        <v>9.7000000000000003E-3</v>
      </c>
      <c r="H2065" s="605">
        <f>IF(F2065&lt;=30,(0.51*F2065+4.28)*G2065,((0.51*30+4.28)+0.42*(F2065-30))*G2065)</f>
        <v>2.1047060000000002</v>
      </c>
      <c r="I2065" s="675"/>
      <c r="J2065" s="675"/>
      <c r="K2065" s="606">
        <f t="shared" si="407"/>
        <v>0</v>
      </c>
      <c r="L2065" s="607"/>
      <c r="M2065" s="614"/>
      <c r="N2065" s="614"/>
      <c r="O2065" s="287">
        <f t="shared" si="391"/>
        <v>0</v>
      </c>
      <c r="P2065" s="287">
        <f t="shared" si="392"/>
        <v>0</v>
      </c>
      <c r="Q2065" s="288"/>
      <c r="R2065" s="315" t="str">
        <f>IF(P2064&gt;0,"xy","")</f>
        <v/>
      </c>
      <c r="S2065" s="385" t="str">
        <f t="shared" si="409"/>
        <v/>
      </c>
    </row>
    <row r="2066" spans="2:19" ht="13.5" hidden="1" thickBot="1">
      <c r="B2066" s="609" t="s">
        <v>168</v>
      </c>
      <c r="C2066" s="610"/>
      <c r="D2066" s="611" t="s">
        <v>256</v>
      </c>
      <c r="E2066" s="602"/>
      <c r="F2066" s="603">
        <v>180</v>
      </c>
      <c r="G2066" s="604">
        <v>5.04E-2</v>
      </c>
      <c r="H2066" s="605">
        <f>IF(F2066=0,0,IF(F2066&lt;=30,(0.7*F2066+1.45)*G2066,((0.7*30+1.45)+0.58*(F2066-30))*G2066))</f>
        <v>5.5162800000000001</v>
      </c>
      <c r="I2066" s="675"/>
      <c r="J2066" s="675"/>
      <c r="K2066" s="606">
        <f t="shared" si="407"/>
        <v>0</v>
      </c>
      <c r="L2066" s="607"/>
      <c r="M2066" s="614"/>
      <c r="N2066" s="614"/>
      <c r="O2066" s="287">
        <f t="shared" si="391"/>
        <v>0</v>
      </c>
      <c r="P2066" s="287">
        <f t="shared" si="392"/>
        <v>0</v>
      </c>
      <c r="Q2066" s="288"/>
      <c r="R2066" s="315" t="str">
        <f>IF(P2064&gt;0,"xy","")</f>
        <v/>
      </c>
      <c r="S2066" s="385" t="str">
        <f t="shared" si="409"/>
        <v/>
      </c>
    </row>
    <row r="2067" spans="2:19" ht="13.5" hidden="1" thickBot="1">
      <c r="B2067" s="609" t="s">
        <v>168</v>
      </c>
      <c r="C2067" s="610"/>
      <c r="D2067" s="611" t="s">
        <v>364</v>
      </c>
      <c r="E2067" s="602"/>
      <c r="F2067" s="603">
        <v>20</v>
      </c>
      <c r="G2067" s="604">
        <v>2.15</v>
      </c>
      <c r="H2067" s="605">
        <f>IF(F2067=0,0,IF(F2067&lt;=30,(0.7*F2067+1.45)*G2067,((0.7*30+1.45)+0.58*(F2067-30))*G2067))</f>
        <v>33.217499999999994</v>
      </c>
      <c r="I2067" s="675"/>
      <c r="J2067" s="675"/>
      <c r="K2067" s="606">
        <f t="shared" si="407"/>
        <v>0</v>
      </c>
      <c r="L2067" s="607"/>
      <c r="M2067" s="614"/>
      <c r="N2067" s="614"/>
      <c r="O2067" s="287">
        <f t="shared" si="391"/>
        <v>0</v>
      </c>
      <c r="P2067" s="287">
        <f t="shared" si="392"/>
        <v>0</v>
      </c>
      <c r="Q2067" s="288"/>
      <c r="R2067" s="243" t="str">
        <f>IF(P2064&gt;0,"xy","")</f>
        <v/>
      </c>
      <c r="S2067" s="385" t="str">
        <f t="shared" si="409"/>
        <v/>
      </c>
    </row>
    <row r="2068" spans="2:19" ht="13.5" hidden="1" thickBot="1">
      <c r="B2068" s="609">
        <v>610500</v>
      </c>
      <c r="C2068" s="610" t="s">
        <v>212</v>
      </c>
      <c r="D2068" s="611" t="s">
        <v>409</v>
      </c>
      <c r="E2068" s="602"/>
      <c r="F2068" s="603"/>
      <c r="G2068" s="604"/>
      <c r="H2068" s="605">
        <f>SUM(H2069:H2072)</f>
        <v>18.596458000000002</v>
      </c>
      <c r="I2068" s="675">
        <v>362.06</v>
      </c>
      <c r="J2068" s="675">
        <f t="shared" ref="J2068" si="413">IF(ISBLANK(I2068),"",SUM(H2068:I2068))</f>
        <v>380.65645799999999</v>
      </c>
      <c r="K2068" s="606">
        <f t="shared" si="407"/>
        <v>461.93</v>
      </c>
      <c r="L2068" s="607" t="s">
        <v>19</v>
      </c>
      <c r="M2068" s="30"/>
      <c r="N2068" s="30"/>
      <c r="O2068" s="287">
        <f t="shared" si="391"/>
        <v>0</v>
      </c>
      <c r="P2068" s="287">
        <f t="shared" si="392"/>
        <v>0</v>
      </c>
      <c r="Q2068" s="288"/>
      <c r="S2068" s="385" t="str">
        <f t="shared" si="409"/>
        <v/>
      </c>
    </row>
    <row r="2069" spans="2:19" ht="13.5" hidden="1" thickBot="1">
      <c r="B2069" s="609" t="s">
        <v>168</v>
      </c>
      <c r="C2069" s="610"/>
      <c r="D2069" s="611" t="s">
        <v>218</v>
      </c>
      <c r="E2069" s="602"/>
      <c r="F2069" s="603">
        <v>500</v>
      </c>
      <c r="G2069" s="604">
        <v>2.2599999999999999E-2</v>
      </c>
      <c r="H2069" s="605">
        <f>IF(F2069&lt;=30,(0.51*F2069+4.28)*G2069,((0.51*30+4.28)+0.42*(F2069-30))*G2069)</f>
        <v>4.9037480000000002</v>
      </c>
      <c r="I2069" s="675"/>
      <c r="J2069" s="675"/>
      <c r="K2069" s="606">
        <f t="shared" si="407"/>
        <v>0</v>
      </c>
      <c r="L2069" s="607"/>
      <c r="M2069" s="614"/>
      <c r="N2069" s="614"/>
      <c r="O2069" s="287">
        <f t="shared" si="391"/>
        <v>0</v>
      </c>
      <c r="P2069" s="287">
        <f t="shared" si="392"/>
        <v>0</v>
      </c>
      <c r="Q2069" s="288"/>
      <c r="R2069" s="315" t="str">
        <f>IF(P2068&gt;0,"xy","")</f>
        <v/>
      </c>
      <c r="S2069" s="385" t="str">
        <f t="shared" si="409"/>
        <v/>
      </c>
    </row>
    <row r="2070" spans="2:19" ht="13.5" hidden="1" thickBot="1">
      <c r="B2070" s="609" t="s">
        <v>168</v>
      </c>
      <c r="C2070" s="610"/>
      <c r="D2070" s="611" t="s">
        <v>256</v>
      </c>
      <c r="E2070" s="602"/>
      <c r="F2070" s="603">
        <v>180</v>
      </c>
      <c r="G2070" s="604">
        <v>8.3900000000000002E-2</v>
      </c>
      <c r="H2070" s="605">
        <f>IF(F2070=0,0,IF(F2070&lt;=30,(0.7*F2070+1.45)*G2070,((0.7*30+1.45)+0.58*(F2070-30))*G2070))</f>
        <v>9.182855</v>
      </c>
      <c r="I2070" s="675"/>
      <c r="J2070" s="675"/>
      <c r="K2070" s="606">
        <f t="shared" si="407"/>
        <v>0</v>
      </c>
      <c r="L2070" s="607"/>
      <c r="M2070" s="614"/>
      <c r="N2070" s="614"/>
      <c r="O2070" s="287">
        <f t="shared" si="391"/>
        <v>0</v>
      </c>
      <c r="P2070" s="287">
        <f t="shared" si="392"/>
        <v>0</v>
      </c>
      <c r="Q2070" s="288"/>
      <c r="R2070" s="315" t="str">
        <f>IF(P2068&gt;0,"xy","")</f>
        <v/>
      </c>
      <c r="S2070" s="385" t="str">
        <f t="shared" si="409"/>
        <v/>
      </c>
    </row>
    <row r="2071" spans="2:19" ht="13.5" hidden="1" thickBot="1">
      <c r="B2071" s="609" t="s">
        <v>168</v>
      </c>
      <c r="C2071" s="610"/>
      <c r="D2071" s="611" t="s">
        <v>260</v>
      </c>
      <c r="E2071" s="602"/>
      <c r="F2071" s="603">
        <v>20</v>
      </c>
      <c r="G2071" s="604">
        <v>0.13490000000000002</v>
      </c>
      <c r="H2071" s="605">
        <f>IF(F2071=0,0,IF(F2071&lt;=30,(0.7*F2071+1.45)*G2071,((0.7*30+1.45)+0.58*(F2071-30))*G2071))</f>
        <v>2.0842050000000003</v>
      </c>
      <c r="I2071" s="675"/>
      <c r="J2071" s="675"/>
      <c r="K2071" s="606">
        <f t="shared" si="407"/>
        <v>0</v>
      </c>
      <c r="L2071" s="607"/>
      <c r="M2071" s="614"/>
      <c r="N2071" s="614"/>
      <c r="O2071" s="287">
        <f t="shared" si="391"/>
        <v>0</v>
      </c>
      <c r="P2071" s="287">
        <f t="shared" si="392"/>
        <v>0</v>
      </c>
      <c r="Q2071" s="288"/>
      <c r="R2071" s="243" t="str">
        <f>IF(P2068&gt;0,"xy","")</f>
        <v/>
      </c>
      <c r="S2071" s="385" t="str">
        <f t="shared" si="409"/>
        <v/>
      </c>
    </row>
    <row r="2072" spans="2:19" ht="13.5" hidden="1" thickBot="1">
      <c r="B2072" s="609" t="s">
        <v>168</v>
      </c>
      <c r="C2072" s="610"/>
      <c r="D2072" s="611" t="s">
        <v>364</v>
      </c>
      <c r="E2072" s="602"/>
      <c r="F2072" s="603">
        <v>20</v>
      </c>
      <c r="G2072" s="604">
        <v>0.157</v>
      </c>
      <c r="H2072" s="605">
        <f>IF(F2072=0,0,IF(F2072&lt;=30,(0.7*F2072+1.45)*G2072,((0.7*30+1.45)+0.58*(F2072-30))*G2072))</f>
        <v>2.4256500000000001</v>
      </c>
      <c r="I2072" s="675"/>
      <c r="J2072" s="675"/>
      <c r="K2072" s="606">
        <f t="shared" si="407"/>
        <v>0</v>
      </c>
      <c r="L2072" s="607"/>
      <c r="M2072" s="614"/>
      <c r="N2072" s="614"/>
      <c r="O2072" s="287">
        <f t="shared" si="391"/>
        <v>0</v>
      </c>
      <c r="P2072" s="287">
        <f t="shared" si="392"/>
        <v>0</v>
      </c>
      <c r="Q2072" s="288"/>
      <c r="R2072" s="315" t="str">
        <f>IF(P2068&gt;0,"xy","")</f>
        <v/>
      </c>
      <c r="S2072" s="385" t="str">
        <f t="shared" si="409"/>
        <v/>
      </c>
    </row>
    <row r="2073" spans="2:19" ht="13.5" hidden="1" thickBot="1">
      <c r="B2073" s="609" t="s">
        <v>2062</v>
      </c>
      <c r="C2073" s="610" t="s">
        <v>212</v>
      </c>
      <c r="D2073" s="611" t="s">
        <v>745</v>
      </c>
      <c r="E2073" s="602"/>
      <c r="F2073" s="603"/>
      <c r="G2073" s="604"/>
      <c r="H2073" s="605">
        <f>SUM(H2074:H2077)</f>
        <v>24.247653000000003</v>
      </c>
      <c r="I2073" s="675">
        <v>372.98499999999996</v>
      </c>
      <c r="J2073" s="675">
        <f t="shared" ref="J2073" si="414">IF(ISBLANK(I2073),"",SUM(H2073:I2073))</f>
        <v>397.23265299999997</v>
      </c>
      <c r="K2073" s="606">
        <f t="shared" si="407"/>
        <v>482.04</v>
      </c>
      <c r="L2073" s="607" t="s">
        <v>19</v>
      </c>
      <c r="M2073" s="30"/>
      <c r="N2073" s="30"/>
      <c r="O2073" s="287">
        <f t="shared" si="391"/>
        <v>0</v>
      </c>
      <c r="P2073" s="287">
        <f t="shared" si="392"/>
        <v>0</v>
      </c>
      <c r="Q2073" s="288"/>
      <c r="S2073" s="385" t="str">
        <f t="shared" si="409"/>
        <v/>
      </c>
    </row>
    <row r="2074" spans="2:19" ht="13.5" hidden="1" thickBot="1">
      <c r="B2074" s="609" t="s">
        <v>168</v>
      </c>
      <c r="C2074" s="610"/>
      <c r="D2074" s="611" t="s">
        <v>218</v>
      </c>
      <c r="E2074" s="602"/>
      <c r="F2074" s="603">
        <v>500</v>
      </c>
      <c r="G2074" s="604">
        <v>2.86E-2</v>
      </c>
      <c r="H2074" s="605">
        <f>IF(F2074&lt;=30,(0.51*F2074+4.28)*G2074,((0.51*30+4.28)+0.42*(F2074-30))*G2074)</f>
        <v>6.2056280000000008</v>
      </c>
      <c r="I2074" s="675"/>
      <c r="J2074" s="675"/>
      <c r="K2074" s="606">
        <f t="shared" si="407"/>
        <v>0</v>
      </c>
      <c r="L2074" s="607"/>
      <c r="M2074" s="614"/>
      <c r="N2074" s="614"/>
      <c r="O2074" s="287">
        <f t="shared" si="391"/>
        <v>0</v>
      </c>
      <c r="P2074" s="287">
        <f t="shared" si="392"/>
        <v>0</v>
      </c>
      <c r="Q2074" s="288"/>
      <c r="R2074" s="315" t="str">
        <f>IF(P2073&gt;0,"xy","")</f>
        <v/>
      </c>
      <c r="S2074" s="385" t="str">
        <f t="shared" si="409"/>
        <v/>
      </c>
    </row>
    <row r="2075" spans="2:19" ht="13.5" hidden="1" thickBot="1">
      <c r="B2075" s="609" t="s">
        <v>168</v>
      </c>
      <c r="C2075" s="610"/>
      <c r="D2075" s="611" t="s">
        <v>256</v>
      </c>
      <c r="E2075" s="602"/>
      <c r="F2075" s="603">
        <v>180</v>
      </c>
      <c r="G2075" s="604">
        <v>0.10539999999999999</v>
      </c>
      <c r="H2075" s="605">
        <f>IF(F2075=0,0,IF(F2075&lt;=30,(0.7*F2075+1.45)*G2075,((0.7*30+1.45)+0.58*(F2075-30))*G2075))</f>
        <v>11.53603</v>
      </c>
      <c r="I2075" s="675"/>
      <c r="J2075" s="675"/>
      <c r="K2075" s="606">
        <f t="shared" si="407"/>
        <v>0</v>
      </c>
      <c r="L2075" s="607"/>
      <c r="M2075" s="614"/>
      <c r="N2075" s="614"/>
      <c r="O2075" s="287">
        <f t="shared" si="391"/>
        <v>0</v>
      </c>
      <c r="P2075" s="287">
        <f t="shared" si="392"/>
        <v>0</v>
      </c>
      <c r="Q2075" s="288"/>
      <c r="R2075" s="315" t="str">
        <f>IF(P2073&gt;0,"xy","")</f>
        <v/>
      </c>
      <c r="S2075" s="385" t="str">
        <f t="shared" si="409"/>
        <v/>
      </c>
    </row>
    <row r="2076" spans="2:19" ht="13.5" hidden="1" thickBot="1">
      <c r="B2076" s="609" t="s">
        <v>168</v>
      </c>
      <c r="C2076" s="610"/>
      <c r="D2076" s="611" t="s">
        <v>260</v>
      </c>
      <c r="E2076" s="602"/>
      <c r="F2076" s="603">
        <v>20</v>
      </c>
      <c r="G2076" s="604">
        <v>0.1711</v>
      </c>
      <c r="H2076" s="605">
        <f>IF(F2076=0,0,IF(F2076&lt;=30,(0.7*F2076+1.45)*G2076,((0.7*30+1.45)+0.58*(F2076-30))*G2076))</f>
        <v>2.6434949999999997</v>
      </c>
      <c r="I2076" s="675"/>
      <c r="J2076" s="675"/>
      <c r="K2076" s="606">
        <f t="shared" si="407"/>
        <v>0</v>
      </c>
      <c r="L2076" s="607"/>
      <c r="M2076" s="614"/>
      <c r="N2076" s="614"/>
      <c r="O2076" s="287">
        <f t="shared" si="391"/>
        <v>0</v>
      </c>
      <c r="P2076" s="287">
        <f t="shared" si="392"/>
        <v>0</v>
      </c>
      <c r="Q2076" s="288"/>
      <c r="R2076" s="243" t="str">
        <f>IF(P2073&gt;0,"xy","")</f>
        <v/>
      </c>
      <c r="S2076" s="385" t="str">
        <f t="shared" si="409"/>
        <v/>
      </c>
    </row>
    <row r="2077" spans="2:19" ht="13.5" hidden="1" thickBot="1">
      <c r="B2077" s="609" t="s">
        <v>168</v>
      </c>
      <c r="C2077" s="610"/>
      <c r="D2077" s="611" t="s">
        <v>364</v>
      </c>
      <c r="E2077" s="602"/>
      <c r="F2077" s="603">
        <v>20</v>
      </c>
      <c r="G2077" s="604">
        <v>0.25</v>
      </c>
      <c r="H2077" s="605">
        <f>IF(F2077=0,0,IF(F2077&lt;=30,(0.7*F2077+1.45)*G2077,((0.7*30+1.45)+0.58*(F2077-30))*G2077))</f>
        <v>3.8624999999999998</v>
      </c>
      <c r="I2077" s="675"/>
      <c r="J2077" s="675"/>
      <c r="K2077" s="606">
        <f t="shared" si="407"/>
        <v>0</v>
      </c>
      <c r="L2077" s="607"/>
      <c r="M2077" s="614"/>
      <c r="N2077" s="614"/>
      <c r="O2077" s="287">
        <f t="shared" si="391"/>
        <v>0</v>
      </c>
      <c r="P2077" s="287">
        <f t="shared" si="392"/>
        <v>0</v>
      </c>
      <c r="Q2077" s="288"/>
      <c r="R2077" s="315" t="str">
        <f>IF(P2073&gt;0,"xy","")</f>
        <v/>
      </c>
      <c r="S2077" s="385" t="str">
        <f t="shared" si="409"/>
        <v/>
      </c>
    </row>
    <row r="2078" spans="2:19" ht="13.5" hidden="1" thickBot="1">
      <c r="B2078" s="609" t="s">
        <v>2063</v>
      </c>
      <c r="C2078" s="610" t="s">
        <v>212</v>
      </c>
      <c r="D2078" s="611" t="s">
        <v>410</v>
      </c>
      <c r="E2078" s="602"/>
      <c r="F2078" s="603"/>
      <c r="G2078" s="604"/>
      <c r="H2078" s="605">
        <f>SUM(H2079:H2082)</f>
        <v>28.934700000000003</v>
      </c>
      <c r="I2078" s="675">
        <v>383.90999999999997</v>
      </c>
      <c r="J2078" s="675">
        <f t="shared" ref="J2078" si="415">IF(ISBLANK(I2078),"",SUM(H2078:I2078))</f>
        <v>412.84469999999999</v>
      </c>
      <c r="K2078" s="606">
        <f t="shared" si="407"/>
        <v>500.99</v>
      </c>
      <c r="L2078" s="607" t="s">
        <v>19</v>
      </c>
      <c r="M2078" s="30"/>
      <c r="N2078" s="30"/>
      <c r="O2078" s="287">
        <f t="shared" si="391"/>
        <v>0</v>
      </c>
      <c r="P2078" s="287">
        <f t="shared" si="392"/>
        <v>0</v>
      </c>
      <c r="Q2078" s="288"/>
      <c r="S2078" s="385" t="str">
        <f t="shared" si="409"/>
        <v/>
      </c>
    </row>
    <row r="2079" spans="2:19" ht="13.5" hidden="1" thickBot="1">
      <c r="B2079" s="609" t="s">
        <v>168</v>
      </c>
      <c r="C2079" s="610"/>
      <c r="D2079" s="611" t="s">
        <v>218</v>
      </c>
      <c r="E2079" s="602"/>
      <c r="F2079" s="603">
        <v>500</v>
      </c>
      <c r="G2079" s="604">
        <v>3.4500000000000003E-2</v>
      </c>
      <c r="H2079" s="605">
        <f>IF(F2079&lt;=30,(0.51*F2079+4.28)*G2079,((0.51*30+4.28)+0.42*(F2079-30))*G2079)</f>
        <v>7.4858100000000016</v>
      </c>
      <c r="I2079" s="675"/>
      <c r="J2079" s="675"/>
      <c r="K2079" s="606">
        <f t="shared" si="407"/>
        <v>0</v>
      </c>
      <c r="L2079" s="607"/>
      <c r="M2079" s="614"/>
      <c r="N2079" s="614"/>
      <c r="O2079" s="287">
        <f t="shared" si="391"/>
        <v>0</v>
      </c>
      <c r="P2079" s="287">
        <f t="shared" si="392"/>
        <v>0</v>
      </c>
      <c r="Q2079" s="288"/>
      <c r="R2079" s="315" t="str">
        <f>IF(P2078&gt;0,"xy","")</f>
        <v/>
      </c>
      <c r="S2079" s="385" t="str">
        <f t="shared" si="409"/>
        <v/>
      </c>
    </row>
    <row r="2080" spans="2:19" ht="13.5" hidden="1" thickBot="1">
      <c r="B2080" s="609" t="s">
        <v>168</v>
      </c>
      <c r="C2080" s="610"/>
      <c r="D2080" s="611" t="s">
        <v>256</v>
      </c>
      <c r="E2080" s="602"/>
      <c r="F2080" s="603">
        <v>180</v>
      </c>
      <c r="G2080" s="604">
        <v>0.12690000000000001</v>
      </c>
      <c r="H2080" s="605">
        <f>IF(F2080=0,0,IF(F2080&lt;=30,(0.7*F2080+1.45)*G2080,((0.7*30+1.45)+0.58*(F2080-30))*G2080))</f>
        <v>13.889205000000002</v>
      </c>
      <c r="I2080" s="675"/>
      <c r="J2080" s="675"/>
      <c r="K2080" s="606">
        <f t="shared" si="407"/>
        <v>0</v>
      </c>
      <c r="L2080" s="607"/>
      <c r="M2080" s="614"/>
      <c r="N2080" s="614"/>
      <c r="O2080" s="287">
        <f t="shared" si="391"/>
        <v>0</v>
      </c>
      <c r="P2080" s="287">
        <f t="shared" si="392"/>
        <v>0</v>
      </c>
      <c r="Q2080" s="288"/>
      <c r="R2080" s="315" t="str">
        <f>IF(P2078&gt;0,"xy","")</f>
        <v/>
      </c>
      <c r="S2080" s="385" t="str">
        <f t="shared" si="409"/>
        <v/>
      </c>
    </row>
    <row r="2081" spans="2:19" ht="13.5" hidden="1" thickBot="1">
      <c r="B2081" s="609" t="s">
        <v>168</v>
      </c>
      <c r="C2081" s="610"/>
      <c r="D2081" s="611" t="s">
        <v>260</v>
      </c>
      <c r="E2081" s="602"/>
      <c r="F2081" s="603">
        <v>20</v>
      </c>
      <c r="G2081" s="604">
        <v>0.20729999999999998</v>
      </c>
      <c r="H2081" s="605">
        <f>IF(F2081=0,0,IF(F2081&lt;=30,(0.7*F2081+1.45)*G2081,((0.7*30+1.45)+0.58*(F2081-30))*G2081))</f>
        <v>3.2027849999999995</v>
      </c>
      <c r="I2081" s="675"/>
      <c r="J2081" s="675"/>
      <c r="K2081" s="606">
        <f t="shared" si="407"/>
        <v>0</v>
      </c>
      <c r="L2081" s="607"/>
      <c r="M2081" s="614"/>
      <c r="N2081" s="614"/>
      <c r="O2081" s="287">
        <f t="shared" si="391"/>
        <v>0</v>
      </c>
      <c r="P2081" s="287">
        <f t="shared" si="392"/>
        <v>0</v>
      </c>
      <c r="Q2081" s="288"/>
      <c r="R2081" s="243" t="str">
        <f>IF(P2078&gt;0,"xy","")</f>
        <v/>
      </c>
      <c r="S2081" s="385" t="str">
        <f t="shared" si="409"/>
        <v/>
      </c>
    </row>
    <row r="2082" spans="2:19" ht="13.5" hidden="1" thickBot="1">
      <c r="B2082" s="609" t="s">
        <v>168</v>
      </c>
      <c r="C2082" s="610"/>
      <c r="D2082" s="611" t="s">
        <v>364</v>
      </c>
      <c r="E2082" s="602"/>
      <c r="F2082" s="603">
        <v>20</v>
      </c>
      <c r="G2082" s="604">
        <v>0.28199999999999997</v>
      </c>
      <c r="H2082" s="605">
        <f>IF(F2082=0,0,IF(F2082&lt;=30,(0.7*F2082+1.45)*G2082,((0.7*30+1.45)+0.58*(F2082-30))*G2082))</f>
        <v>4.3568999999999996</v>
      </c>
      <c r="I2082" s="675"/>
      <c r="J2082" s="675"/>
      <c r="K2082" s="606">
        <f t="shared" si="407"/>
        <v>0</v>
      </c>
      <c r="L2082" s="607"/>
      <c r="M2082" s="614"/>
      <c r="N2082" s="614"/>
      <c r="O2082" s="287">
        <f t="shared" si="391"/>
        <v>0</v>
      </c>
      <c r="P2082" s="287">
        <f t="shared" si="392"/>
        <v>0</v>
      </c>
      <c r="Q2082" s="288"/>
      <c r="R2082" s="315" t="str">
        <f>IF(P2078&gt;0,"xy","")</f>
        <v/>
      </c>
      <c r="S2082" s="385" t="str">
        <f t="shared" si="409"/>
        <v/>
      </c>
    </row>
    <row r="2083" spans="2:19" ht="13.5" hidden="1" thickBot="1">
      <c r="B2083" s="609" t="s">
        <v>2064</v>
      </c>
      <c r="C2083" s="610" t="s">
        <v>212</v>
      </c>
      <c r="D2083" s="611" t="s">
        <v>746</v>
      </c>
      <c r="E2083" s="602"/>
      <c r="F2083" s="603"/>
      <c r="G2083" s="604"/>
      <c r="H2083" s="605">
        <f>SUM(H2084:H2087)</f>
        <v>41.776935999999999</v>
      </c>
      <c r="I2083" s="675">
        <v>482.315</v>
      </c>
      <c r="J2083" s="675">
        <f t="shared" ref="J2083" si="416">IF(ISBLANK(I2083),"",SUM(H2083:I2083))</f>
        <v>524.09193600000003</v>
      </c>
      <c r="K2083" s="606">
        <f t="shared" si="407"/>
        <v>635.99</v>
      </c>
      <c r="L2083" s="607" t="s">
        <v>19</v>
      </c>
      <c r="M2083" s="30"/>
      <c r="N2083" s="30"/>
      <c r="O2083" s="287">
        <f t="shared" si="391"/>
        <v>0</v>
      </c>
      <c r="P2083" s="287">
        <f t="shared" si="392"/>
        <v>0</v>
      </c>
      <c r="Q2083" s="288"/>
      <c r="S2083" s="385" t="str">
        <f t="shared" si="409"/>
        <v/>
      </c>
    </row>
    <row r="2084" spans="2:19" ht="13.5" hidden="1" thickBot="1">
      <c r="B2084" s="609" t="s">
        <v>168</v>
      </c>
      <c r="C2084" s="610"/>
      <c r="D2084" s="611" t="s">
        <v>218</v>
      </c>
      <c r="E2084" s="602"/>
      <c r="F2084" s="603">
        <v>500</v>
      </c>
      <c r="G2084" s="604">
        <v>4.7199999999999999E-2</v>
      </c>
      <c r="H2084" s="605">
        <f>IF(F2084&lt;=30,(0.51*F2084+4.28)*G2084,((0.51*30+4.28)+0.42*(F2084-30))*G2084)</f>
        <v>10.241456000000001</v>
      </c>
      <c r="I2084" s="675"/>
      <c r="J2084" s="675"/>
      <c r="K2084" s="606">
        <f t="shared" si="407"/>
        <v>0</v>
      </c>
      <c r="L2084" s="607"/>
      <c r="M2084" s="614"/>
      <c r="N2084" s="614"/>
      <c r="O2084" s="287">
        <f t="shared" si="391"/>
        <v>0</v>
      </c>
      <c r="P2084" s="287">
        <f t="shared" si="392"/>
        <v>0</v>
      </c>
      <c r="Q2084" s="288"/>
      <c r="R2084" s="315" t="str">
        <f>IF(P2083&gt;0,"xy","")</f>
        <v/>
      </c>
      <c r="S2084" s="385" t="str">
        <f t="shared" si="409"/>
        <v/>
      </c>
    </row>
    <row r="2085" spans="2:19" ht="13.5" hidden="1" thickBot="1">
      <c r="B2085" s="609" t="s">
        <v>168</v>
      </c>
      <c r="C2085" s="610"/>
      <c r="D2085" s="611" t="s">
        <v>256</v>
      </c>
      <c r="E2085" s="602"/>
      <c r="F2085" s="603">
        <v>180</v>
      </c>
      <c r="G2085" s="604">
        <v>0.17269999999999999</v>
      </c>
      <c r="H2085" s="605">
        <f>IF(F2085=0,0,IF(F2085&lt;=30,(0.7*F2085+1.45)*G2085,((0.7*30+1.45)+0.58*(F2085-30))*G2085))</f>
        <v>18.902014999999999</v>
      </c>
      <c r="I2085" s="675"/>
      <c r="J2085" s="675"/>
      <c r="K2085" s="606">
        <f t="shared" si="407"/>
        <v>0</v>
      </c>
      <c r="L2085" s="607"/>
      <c r="M2085" s="614"/>
      <c r="N2085" s="614"/>
      <c r="O2085" s="287">
        <f t="shared" si="391"/>
        <v>0</v>
      </c>
      <c r="P2085" s="287">
        <f t="shared" si="392"/>
        <v>0</v>
      </c>
      <c r="Q2085" s="288"/>
      <c r="R2085" s="315" t="str">
        <f>IF(P2083&gt;0,"xy","")</f>
        <v/>
      </c>
      <c r="S2085" s="385" t="str">
        <f t="shared" si="409"/>
        <v/>
      </c>
    </row>
    <row r="2086" spans="2:19" ht="13.5" hidden="1" thickBot="1">
      <c r="B2086" s="609" t="s">
        <v>168</v>
      </c>
      <c r="C2086" s="610"/>
      <c r="D2086" s="611" t="s">
        <v>260</v>
      </c>
      <c r="E2086" s="602"/>
      <c r="F2086" s="603">
        <v>20</v>
      </c>
      <c r="G2086" s="604">
        <v>0.28770000000000001</v>
      </c>
      <c r="H2086" s="605">
        <f>IF(F2086=0,0,IF(F2086&lt;=30,(0.7*F2086+1.45)*G2086,((0.7*30+1.45)+0.58*(F2086-30))*G2086))</f>
        <v>4.4449649999999998</v>
      </c>
      <c r="I2086" s="675"/>
      <c r="J2086" s="675"/>
      <c r="K2086" s="606">
        <f t="shared" si="407"/>
        <v>0</v>
      </c>
      <c r="L2086" s="607"/>
      <c r="M2086" s="614"/>
      <c r="N2086" s="614"/>
      <c r="O2086" s="287">
        <f t="shared" si="391"/>
        <v>0</v>
      </c>
      <c r="P2086" s="287">
        <f t="shared" si="392"/>
        <v>0</v>
      </c>
      <c r="Q2086" s="288"/>
      <c r="R2086" s="243" t="str">
        <f>IF(P2083&gt;0,"xy","")</f>
        <v/>
      </c>
      <c r="S2086" s="385" t="str">
        <f t="shared" si="409"/>
        <v/>
      </c>
    </row>
    <row r="2087" spans="2:19" ht="13.5" hidden="1" thickBot="1">
      <c r="B2087" s="609" t="s">
        <v>168</v>
      </c>
      <c r="C2087" s="610"/>
      <c r="D2087" s="611" t="s">
        <v>364</v>
      </c>
      <c r="E2087" s="602"/>
      <c r="F2087" s="603">
        <v>20</v>
      </c>
      <c r="G2087" s="604">
        <v>0.53</v>
      </c>
      <c r="H2087" s="605">
        <f>IF(F2087=0,0,IF(F2087&lt;=30,(0.7*F2087+1.45)*G2087,((0.7*30+1.45)+0.58*(F2087-30))*G2087))</f>
        <v>8.1884999999999994</v>
      </c>
      <c r="I2087" s="675"/>
      <c r="J2087" s="675"/>
      <c r="K2087" s="606">
        <f t="shared" si="407"/>
        <v>0</v>
      </c>
      <c r="L2087" s="607"/>
      <c r="M2087" s="614"/>
      <c r="N2087" s="614"/>
      <c r="O2087" s="287">
        <f t="shared" si="391"/>
        <v>0</v>
      </c>
      <c r="P2087" s="287">
        <f t="shared" si="392"/>
        <v>0</v>
      </c>
      <c r="Q2087" s="288"/>
      <c r="R2087" s="315" t="str">
        <f>IF(P2083&gt;0,"xy","")</f>
        <v/>
      </c>
      <c r="S2087" s="385" t="str">
        <f t="shared" si="409"/>
        <v/>
      </c>
    </row>
    <row r="2088" spans="2:19" ht="13.5" hidden="1" thickBot="1">
      <c r="B2088" s="609" t="s">
        <v>2065</v>
      </c>
      <c r="C2088" s="610" t="s">
        <v>212</v>
      </c>
      <c r="D2088" s="611" t="s">
        <v>411</v>
      </c>
      <c r="E2088" s="602"/>
      <c r="F2088" s="603"/>
      <c r="G2088" s="604"/>
      <c r="H2088" s="605">
        <f>SUM(H2089:H2092)</f>
        <v>53.248626999999999</v>
      </c>
      <c r="I2088" s="675">
        <v>580.72</v>
      </c>
      <c r="J2088" s="675">
        <f t="shared" ref="J2088" si="417">IF(ISBLANK(I2088),"",SUM(H2088:I2088))</f>
        <v>633.96862699999997</v>
      </c>
      <c r="K2088" s="606">
        <f t="shared" si="407"/>
        <v>769.32</v>
      </c>
      <c r="L2088" s="607" t="s">
        <v>19</v>
      </c>
      <c r="M2088" s="30"/>
      <c r="N2088" s="30"/>
      <c r="O2088" s="287">
        <f t="shared" si="391"/>
        <v>0</v>
      </c>
      <c r="P2088" s="287">
        <f t="shared" si="392"/>
        <v>0</v>
      </c>
      <c r="Q2088" s="288"/>
      <c r="S2088" s="385" t="str">
        <f t="shared" si="409"/>
        <v/>
      </c>
    </row>
    <row r="2089" spans="2:19" ht="13.5" hidden="1" thickBot="1">
      <c r="B2089" s="609" t="s">
        <v>168</v>
      </c>
      <c r="C2089" s="610"/>
      <c r="D2089" s="611" t="s">
        <v>218</v>
      </c>
      <c r="E2089" s="602"/>
      <c r="F2089" s="603">
        <v>500</v>
      </c>
      <c r="G2089" s="604">
        <v>5.9900000000000002E-2</v>
      </c>
      <c r="H2089" s="605">
        <f>IF(F2089&lt;=30,(0.51*F2089+4.28)*G2089,((0.51*30+4.28)+0.42*(F2089-30))*G2089)</f>
        <v>12.997102000000002</v>
      </c>
      <c r="I2089" s="675"/>
      <c r="J2089" s="675"/>
      <c r="K2089" s="606">
        <f t="shared" si="407"/>
        <v>0</v>
      </c>
      <c r="L2089" s="607"/>
      <c r="M2089" s="614"/>
      <c r="N2089" s="614"/>
      <c r="O2089" s="287">
        <f t="shared" si="391"/>
        <v>0</v>
      </c>
      <c r="P2089" s="287">
        <f t="shared" si="392"/>
        <v>0</v>
      </c>
      <c r="Q2089" s="288"/>
      <c r="R2089" s="315" t="str">
        <f>IF(P2088&gt;0,"xy","")</f>
        <v/>
      </c>
      <c r="S2089" s="385" t="str">
        <f t="shared" si="409"/>
        <v/>
      </c>
    </row>
    <row r="2090" spans="2:19" ht="13.5" hidden="1" thickBot="1">
      <c r="B2090" s="609" t="s">
        <v>168</v>
      </c>
      <c r="C2090" s="610"/>
      <c r="D2090" s="611" t="s">
        <v>256</v>
      </c>
      <c r="E2090" s="602"/>
      <c r="F2090" s="603">
        <v>180</v>
      </c>
      <c r="G2090" s="604">
        <v>0.21840000000000001</v>
      </c>
      <c r="H2090" s="605">
        <f>IF(F2090=0,0,IF(F2090&lt;=30,(0.7*F2090+1.45)*G2090,((0.7*30+1.45)+0.58*(F2090-30))*G2090))</f>
        <v>23.903880000000001</v>
      </c>
      <c r="I2090" s="675"/>
      <c r="J2090" s="675"/>
      <c r="K2090" s="606">
        <f t="shared" si="407"/>
        <v>0</v>
      </c>
      <c r="L2090" s="607"/>
      <c r="M2090" s="614"/>
      <c r="N2090" s="614"/>
      <c r="O2090" s="287">
        <f t="shared" si="391"/>
        <v>0</v>
      </c>
      <c r="P2090" s="287">
        <f t="shared" si="392"/>
        <v>0</v>
      </c>
      <c r="Q2090" s="288"/>
      <c r="R2090" s="315" t="str">
        <f>IF(P2088&gt;0,"xy","")</f>
        <v/>
      </c>
      <c r="S2090" s="385" t="str">
        <f t="shared" si="409"/>
        <v/>
      </c>
    </row>
    <row r="2091" spans="2:19" ht="13.5" hidden="1" thickBot="1">
      <c r="B2091" s="609" t="s">
        <v>168</v>
      </c>
      <c r="C2091" s="610"/>
      <c r="D2091" s="611" t="s">
        <v>260</v>
      </c>
      <c r="E2091" s="602"/>
      <c r="F2091" s="603">
        <v>20</v>
      </c>
      <c r="G2091" s="604">
        <v>0.36809999999999998</v>
      </c>
      <c r="H2091" s="605">
        <f>IF(F2091=0,0,IF(F2091&lt;=30,(0.7*F2091+1.45)*G2091,((0.7*30+1.45)+0.58*(F2091-30))*G2091))</f>
        <v>5.6871449999999992</v>
      </c>
      <c r="I2091" s="675"/>
      <c r="J2091" s="675"/>
      <c r="K2091" s="606">
        <f t="shared" si="407"/>
        <v>0</v>
      </c>
      <c r="L2091" s="607"/>
      <c r="M2091" s="614"/>
      <c r="N2091" s="614"/>
      <c r="O2091" s="287">
        <f t="shared" si="391"/>
        <v>0</v>
      </c>
      <c r="P2091" s="287">
        <f t="shared" si="392"/>
        <v>0</v>
      </c>
      <c r="Q2091" s="288"/>
      <c r="R2091" s="243" t="str">
        <f>IF(P2088&gt;0,"xy","")</f>
        <v/>
      </c>
      <c r="S2091" s="385" t="str">
        <f t="shared" si="409"/>
        <v/>
      </c>
    </row>
    <row r="2092" spans="2:19" ht="13.5" hidden="1" thickBot="1">
      <c r="B2092" s="609" t="s">
        <v>168</v>
      </c>
      <c r="C2092" s="610"/>
      <c r="D2092" s="611" t="s">
        <v>364</v>
      </c>
      <c r="E2092" s="602"/>
      <c r="F2092" s="603">
        <v>20</v>
      </c>
      <c r="G2092" s="604">
        <v>0.69</v>
      </c>
      <c r="H2092" s="605">
        <f>IF(F2092=0,0,IF(F2092&lt;=30,(0.7*F2092+1.45)*G2092,((0.7*30+1.45)+0.58*(F2092-30))*G2092))</f>
        <v>10.660499999999999</v>
      </c>
      <c r="I2092" s="675"/>
      <c r="J2092" s="675"/>
      <c r="K2092" s="606">
        <f t="shared" si="407"/>
        <v>0</v>
      </c>
      <c r="L2092" s="607"/>
      <c r="M2092" s="614"/>
      <c r="N2092" s="614"/>
      <c r="O2092" s="287">
        <f t="shared" si="391"/>
        <v>0</v>
      </c>
      <c r="P2092" s="287">
        <f t="shared" si="392"/>
        <v>0</v>
      </c>
      <c r="Q2092" s="288"/>
      <c r="R2092" s="315" t="str">
        <f>IF(P2088&gt;0,"xy","")</f>
        <v/>
      </c>
      <c r="S2092" s="385" t="str">
        <f t="shared" si="409"/>
        <v/>
      </c>
    </row>
    <row r="2093" spans="2:19" ht="13.5" hidden="1" thickBot="1">
      <c r="B2093" s="609" t="s">
        <v>2078</v>
      </c>
      <c r="C2093" s="610" t="s">
        <v>212</v>
      </c>
      <c r="D2093" s="611" t="s">
        <v>747</v>
      </c>
      <c r="E2093" s="602"/>
      <c r="F2093" s="603"/>
      <c r="G2093" s="604"/>
      <c r="H2093" s="605">
        <f>SUM(H2094:H2097)</f>
        <v>66.80414900000001</v>
      </c>
      <c r="I2093" s="675">
        <v>701.72</v>
      </c>
      <c r="J2093" s="675">
        <f t="shared" ref="J2093" si="418">IF(ISBLANK(I2093),"",SUM(H2093:I2093))</f>
        <v>768.52414900000008</v>
      </c>
      <c r="K2093" s="606">
        <f t="shared" si="407"/>
        <v>932.6</v>
      </c>
      <c r="L2093" s="607" t="s">
        <v>19</v>
      </c>
      <c r="M2093" s="30"/>
      <c r="N2093" s="30"/>
      <c r="O2093" s="287">
        <f t="shared" si="391"/>
        <v>0</v>
      </c>
      <c r="P2093" s="287">
        <f t="shared" si="392"/>
        <v>0</v>
      </c>
      <c r="Q2093" s="288"/>
      <c r="S2093" s="385" t="str">
        <f t="shared" si="409"/>
        <v/>
      </c>
    </row>
    <row r="2094" spans="2:19" ht="13.5" hidden="1" thickBot="1">
      <c r="B2094" s="609" t="s">
        <v>168</v>
      </c>
      <c r="C2094" s="610"/>
      <c r="D2094" s="611" t="s">
        <v>218</v>
      </c>
      <c r="E2094" s="602"/>
      <c r="F2094" s="603">
        <v>500</v>
      </c>
      <c r="G2094" s="604">
        <v>7.5800000000000006E-2</v>
      </c>
      <c r="H2094" s="605">
        <f>IF(F2094&lt;=30,(0.51*F2094+4.28)*G2094,((0.51*30+4.28)+0.42*(F2094-30))*G2094)</f>
        <v>16.447084000000004</v>
      </c>
      <c r="I2094" s="675"/>
      <c r="J2094" s="675"/>
      <c r="K2094" s="606">
        <f t="shared" si="407"/>
        <v>0</v>
      </c>
      <c r="L2094" s="607"/>
      <c r="M2094" s="614"/>
      <c r="N2094" s="614"/>
      <c r="O2094" s="287">
        <f t="shared" si="391"/>
        <v>0</v>
      </c>
      <c r="P2094" s="287">
        <f t="shared" si="392"/>
        <v>0</v>
      </c>
      <c r="Q2094" s="288"/>
      <c r="R2094" s="315" t="str">
        <f>IF(P2093&gt;0,"xy","")</f>
        <v/>
      </c>
      <c r="S2094" s="385" t="str">
        <f t="shared" si="409"/>
        <v/>
      </c>
    </row>
    <row r="2095" spans="2:19" ht="13.5" hidden="1" thickBot="1">
      <c r="B2095" s="609" t="s">
        <v>168</v>
      </c>
      <c r="C2095" s="610"/>
      <c r="D2095" s="611" t="s">
        <v>256</v>
      </c>
      <c r="E2095" s="602"/>
      <c r="F2095" s="603">
        <v>180</v>
      </c>
      <c r="G2095" s="604">
        <v>0.27639999999999998</v>
      </c>
      <c r="H2095" s="605">
        <f>IF(F2095=0,0,IF(F2095&lt;=30,(0.7*F2095+1.45)*G2095,((0.7*30+1.45)+0.58*(F2095-30))*G2095))</f>
        <v>30.25198</v>
      </c>
      <c r="I2095" s="675"/>
      <c r="J2095" s="675"/>
      <c r="K2095" s="606">
        <f t="shared" si="407"/>
        <v>0</v>
      </c>
      <c r="L2095" s="607"/>
      <c r="M2095" s="614"/>
      <c r="N2095" s="614"/>
      <c r="O2095" s="287">
        <f t="shared" si="391"/>
        <v>0</v>
      </c>
      <c r="P2095" s="287">
        <f t="shared" si="392"/>
        <v>0</v>
      </c>
      <c r="Q2095" s="288"/>
      <c r="R2095" s="315" t="str">
        <f>IF(P2093&gt;0,"xy","")</f>
        <v/>
      </c>
      <c r="S2095" s="385" t="str">
        <f t="shared" si="409"/>
        <v/>
      </c>
    </row>
    <row r="2096" spans="2:19" ht="13.5" hidden="1" thickBot="1">
      <c r="B2096" s="609" t="s">
        <v>168</v>
      </c>
      <c r="C2096" s="610"/>
      <c r="D2096" s="611" t="s">
        <v>260</v>
      </c>
      <c r="E2096" s="602"/>
      <c r="F2096" s="603">
        <v>20</v>
      </c>
      <c r="G2096" s="604">
        <v>0.46629999999999999</v>
      </c>
      <c r="H2096" s="605">
        <f>IF(F2096=0,0,IF(F2096&lt;=30,(0.7*F2096+1.45)*G2096,((0.7*30+1.45)+0.58*(F2096-30))*G2096))</f>
        <v>7.2043349999999995</v>
      </c>
      <c r="I2096" s="675"/>
      <c r="J2096" s="675"/>
      <c r="K2096" s="606">
        <f t="shared" si="407"/>
        <v>0</v>
      </c>
      <c r="L2096" s="607"/>
      <c r="M2096" s="614"/>
      <c r="N2096" s="614"/>
      <c r="O2096" s="287">
        <f t="shared" si="391"/>
        <v>0</v>
      </c>
      <c r="P2096" s="287">
        <f t="shared" si="392"/>
        <v>0</v>
      </c>
      <c r="Q2096" s="288"/>
      <c r="R2096" s="243" t="str">
        <f>IF(P2093&gt;0,"xy","")</f>
        <v/>
      </c>
      <c r="S2096" s="385" t="str">
        <f t="shared" si="409"/>
        <v/>
      </c>
    </row>
    <row r="2097" spans="2:19" ht="13.5" hidden="1" thickBot="1">
      <c r="B2097" s="609" t="s">
        <v>168</v>
      </c>
      <c r="C2097" s="610"/>
      <c r="D2097" s="611" t="s">
        <v>364</v>
      </c>
      <c r="E2097" s="602"/>
      <c r="F2097" s="603">
        <v>20</v>
      </c>
      <c r="G2097" s="604">
        <v>0.83499999999999996</v>
      </c>
      <c r="H2097" s="605">
        <f>IF(F2097=0,0,IF(F2097&lt;=30,(0.7*F2097+1.45)*G2097,((0.7*30+1.45)+0.58*(F2097-30))*G2097))</f>
        <v>12.900749999999999</v>
      </c>
      <c r="I2097" s="675"/>
      <c r="J2097" s="675"/>
      <c r="K2097" s="606">
        <f t="shared" si="407"/>
        <v>0</v>
      </c>
      <c r="L2097" s="607"/>
      <c r="M2097" s="614"/>
      <c r="N2097" s="614"/>
      <c r="O2097" s="287">
        <f t="shared" si="391"/>
        <v>0</v>
      </c>
      <c r="P2097" s="287">
        <f t="shared" si="392"/>
        <v>0</v>
      </c>
      <c r="Q2097" s="288"/>
      <c r="R2097" s="315" t="str">
        <f>IF(P2093&gt;0,"xy","")</f>
        <v/>
      </c>
      <c r="S2097" s="385" t="str">
        <f t="shared" si="409"/>
        <v/>
      </c>
    </row>
    <row r="2098" spans="2:19" ht="13.5" hidden="1" thickBot="1">
      <c r="B2098" s="609" t="s">
        <v>2079</v>
      </c>
      <c r="C2098" s="610" t="s">
        <v>212</v>
      </c>
      <c r="D2098" s="611" t="s">
        <v>412</v>
      </c>
      <c r="E2098" s="602"/>
      <c r="F2098" s="603"/>
      <c r="G2098" s="604"/>
      <c r="H2098" s="605">
        <f>SUM(H2099:H2102)</f>
        <v>80.656181000000004</v>
      </c>
      <c r="I2098" s="675">
        <v>822.72</v>
      </c>
      <c r="J2098" s="675">
        <f t="shared" ref="J2098" si="419">IF(ISBLANK(I2098),"",SUM(H2098:I2098))</f>
        <v>903.37618100000009</v>
      </c>
      <c r="K2098" s="606">
        <f t="shared" si="407"/>
        <v>1096.25</v>
      </c>
      <c r="L2098" s="607" t="s">
        <v>19</v>
      </c>
      <c r="M2098" s="30"/>
      <c r="N2098" s="30"/>
      <c r="O2098" s="287">
        <f t="shared" si="391"/>
        <v>0</v>
      </c>
      <c r="P2098" s="287">
        <f t="shared" si="392"/>
        <v>0</v>
      </c>
      <c r="Q2098" s="288"/>
      <c r="S2098" s="385" t="str">
        <f t="shared" si="409"/>
        <v/>
      </c>
    </row>
    <row r="2099" spans="2:19" ht="13.5" hidden="1" thickBot="1">
      <c r="B2099" s="609" t="s">
        <v>168</v>
      </c>
      <c r="C2099" s="610"/>
      <c r="D2099" s="611" t="s">
        <v>218</v>
      </c>
      <c r="E2099" s="602"/>
      <c r="F2099" s="603">
        <v>500</v>
      </c>
      <c r="G2099" s="604">
        <v>9.1700000000000004E-2</v>
      </c>
      <c r="H2099" s="605">
        <f>IF(F2099&lt;=30,(0.51*F2099+4.28)*G2099,((0.51*30+4.28)+0.42*(F2099-30))*G2099)</f>
        <v>19.897066000000002</v>
      </c>
      <c r="I2099" s="675"/>
      <c r="J2099" s="675"/>
      <c r="K2099" s="606">
        <f t="shared" si="407"/>
        <v>0</v>
      </c>
      <c r="L2099" s="607"/>
      <c r="M2099" s="614"/>
      <c r="N2099" s="614"/>
      <c r="O2099" s="287">
        <f t="shared" si="391"/>
        <v>0</v>
      </c>
      <c r="P2099" s="287">
        <f t="shared" si="392"/>
        <v>0</v>
      </c>
      <c r="Q2099" s="288"/>
      <c r="R2099" s="315" t="str">
        <f>IF(P2098&gt;0,"xy","")</f>
        <v/>
      </c>
      <c r="S2099" s="385" t="str">
        <f t="shared" si="409"/>
        <v/>
      </c>
    </row>
    <row r="2100" spans="2:19" ht="13.5" hidden="1" thickBot="1">
      <c r="B2100" s="609" t="s">
        <v>168</v>
      </c>
      <c r="C2100" s="610"/>
      <c r="D2100" s="611" t="s">
        <v>256</v>
      </c>
      <c r="E2100" s="602"/>
      <c r="F2100" s="603">
        <v>180</v>
      </c>
      <c r="G2100" s="604">
        <v>0.33429999999999999</v>
      </c>
      <c r="H2100" s="605">
        <f>IF(F2100=0,0,IF(F2100&lt;=30,(0.7*F2100+1.45)*G2100,((0.7*30+1.45)+0.58*(F2100-30))*G2100))</f>
        <v>36.589134999999999</v>
      </c>
      <c r="I2100" s="675"/>
      <c r="J2100" s="675"/>
      <c r="K2100" s="606">
        <f t="shared" si="407"/>
        <v>0</v>
      </c>
      <c r="L2100" s="607"/>
      <c r="M2100" s="614"/>
      <c r="N2100" s="614"/>
      <c r="O2100" s="287">
        <f t="shared" si="391"/>
        <v>0</v>
      </c>
      <c r="P2100" s="287">
        <f t="shared" si="392"/>
        <v>0</v>
      </c>
      <c r="Q2100" s="288"/>
      <c r="R2100" s="315" t="str">
        <f>IF(P2098&gt;0,"xy","")</f>
        <v/>
      </c>
      <c r="S2100" s="385" t="str">
        <f t="shared" si="409"/>
        <v/>
      </c>
    </row>
    <row r="2101" spans="2:19" ht="13.5" hidden="1" thickBot="1">
      <c r="B2101" s="609" t="s">
        <v>168</v>
      </c>
      <c r="C2101" s="610"/>
      <c r="D2101" s="611" t="s">
        <v>260</v>
      </c>
      <c r="E2101" s="602"/>
      <c r="F2101" s="603">
        <v>20</v>
      </c>
      <c r="G2101" s="604">
        <v>0.56440000000000001</v>
      </c>
      <c r="H2101" s="605">
        <f>IF(F2101=0,0,IF(F2101&lt;=30,(0.7*F2101+1.45)*G2101,((0.7*30+1.45)+0.58*(F2101-30))*G2101))</f>
        <v>8.7199799999999996</v>
      </c>
      <c r="I2101" s="675"/>
      <c r="J2101" s="675"/>
      <c r="K2101" s="606">
        <f t="shared" si="407"/>
        <v>0</v>
      </c>
      <c r="L2101" s="607"/>
      <c r="M2101" s="614"/>
      <c r="N2101" s="614"/>
      <c r="O2101" s="287">
        <f t="shared" si="391"/>
        <v>0</v>
      </c>
      <c r="P2101" s="287">
        <f t="shared" si="392"/>
        <v>0</v>
      </c>
      <c r="Q2101" s="288"/>
      <c r="R2101" s="243" t="str">
        <f>IF(P2098&gt;0,"xy","")</f>
        <v/>
      </c>
      <c r="S2101" s="385" t="str">
        <f t="shared" si="409"/>
        <v/>
      </c>
    </row>
    <row r="2102" spans="2:19" ht="13.5" hidden="1" thickBot="1">
      <c r="B2102" s="609" t="s">
        <v>168</v>
      </c>
      <c r="C2102" s="610"/>
      <c r="D2102" s="611" t="s">
        <v>364</v>
      </c>
      <c r="E2102" s="602"/>
      <c r="F2102" s="603">
        <v>20</v>
      </c>
      <c r="G2102" s="604">
        <v>1</v>
      </c>
      <c r="H2102" s="605">
        <f>IF(F2102=0,0,IF(F2102&lt;=30,(0.7*F2102+1.45)*G2102,((0.7*30+1.45)+0.58*(F2102-30))*G2102))</f>
        <v>15.45</v>
      </c>
      <c r="I2102" s="675"/>
      <c r="J2102" s="675"/>
      <c r="K2102" s="606">
        <f t="shared" si="407"/>
        <v>0</v>
      </c>
      <c r="L2102" s="607"/>
      <c r="M2102" s="614"/>
      <c r="N2102" s="614"/>
      <c r="O2102" s="287">
        <f t="shared" si="391"/>
        <v>0</v>
      </c>
      <c r="P2102" s="287">
        <f t="shared" si="392"/>
        <v>0</v>
      </c>
      <c r="Q2102" s="288"/>
      <c r="R2102" s="315" t="str">
        <f>IF(P2098&gt;0,"xy","")</f>
        <v/>
      </c>
      <c r="S2102" s="385" t="str">
        <f t="shared" si="409"/>
        <v/>
      </c>
    </row>
    <row r="2103" spans="2:19" ht="13.5" hidden="1" thickBot="1">
      <c r="B2103" s="609">
        <v>611300</v>
      </c>
      <c r="C2103" s="610" t="s">
        <v>212</v>
      </c>
      <c r="D2103" s="611" t="s">
        <v>413</v>
      </c>
      <c r="E2103" s="602"/>
      <c r="F2103" s="603"/>
      <c r="G2103" s="604"/>
      <c r="H2103" s="605">
        <f>SUM(H2104:H2107)</f>
        <v>112.63600599999998</v>
      </c>
      <c r="I2103" s="675">
        <v>1081.24</v>
      </c>
      <c r="J2103" s="675">
        <f t="shared" ref="J2103" si="420">IF(ISBLANK(I2103),"",SUM(H2103:I2103))</f>
        <v>1193.876006</v>
      </c>
      <c r="K2103" s="606">
        <f t="shared" si="407"/>
        <v>1448.77</v>
      </c>
      <c r="L2103" s="607" t="s">
        <v>19</v>
      </c>
      <c r="M2103" s="30"/>
      <c r="N2103" s="30"/>
      <c r="O2103" s="287">
        <f t="shared" si="391"/>
        <v>0</v>
      </c>
      <c r="P2103" s="287">
        <f t="shared" si="392"/>
        <v>0</v>
      </c>
      <c r="Q2103" s="288"/>
      <c r="S2103" s="385" t="str">
        <f t="shared" si="409"/>
        <v/>
      </c>
    </row>
    <row r="2104" spans="2:19" ht="13.5" hidden="1" thickBot="1">
      <c r="B2104" s="609" t="s">
        <v>168</v>
      </c>
      <c r="C2104" s="610"/>
      <c r="D2104" s="611" t="s">
        <v>218</v>
      </c>
      <c r="E2104" s="602"/>
      <c r="F2104" s="603">
        <v>500</v>
      </c>
      <c r="G2104" s="604">
        <v>0.12720000000000001</v>
      </c>
      <c r="H2104" s="605">
        <f>IF(F2104&lt;=30,(0.51*F2104+4.28)*G2104,((0.51*30+4.28)+0.42*(F2104-30))*G2104)</f>
        <v>27.599856000000003</v>
      </c>
      <c r="I2104" s="675"/>
      <c r="J2104" s="675"/>
      <c r="K2104" s="606">
        <f t="shared" si="407"/>
        <v>0</v>
      </c>
      <c r="L2104" s="607"/>
      <c r="M2104" s="614"/>
      <c r="N2104" s="614"/>
      <c r="O2104" s="287">
        <f t="shared" si="391"/>
        <v>0</v>
      </c>
      <c r="P2104" s="287">
        <f t="shared" si="392"/>
        <v>0</v>
      </c>
      <c r="Q2104" s="288"/>
      <c r="R2104" s="315" t="str">
        <f>IF(P2103&gt;0,"xy","")</f>
        <v/>
      </c>
      <c r="S2104" s="385" t="str">
        <f t="shared" si="409"/>
        <v/>
      </c>
    </row>
    <row r="2105" spans="2:19" ht="13.5" hidden="1" thickBot="1">
      <c r="B2105" s="609" t="s">
        <v>168</v>
      </c>
      <c r="C2105" s="610"/>
      <c r="D2105" s="611" t="s">
        <v>256</v>
      </c>
      <c r="E2105" s="602"/>
      <c r="F2105" s="603">
        <v>180</v>
      </c>
      <c r="G2105" s="604">
        <v>0.46300000000000002</v>
      </c>
      <c r="H2105" s="605">
        <f>IF(F2105=0,0,IF(F2105&lt;=30,(0.7*F2105+1.45)*G2105,((0.7*30+1.45)+0.58*(F2105-30))*G2105))</f>
        <v>50.675350000000002</v>
      </c>
      <c r="I2105" s="675"/>
      <c r="J2105" s="675"/>
      <c r="K2105" s="606">
        <f t="shared" si="407"/>
        <v>0</v>
      </c>
      <c r="L2105" s="607"/>
      <c r="M2105" s="614"/>
      <c r="N2105" s="614"/>
      <c r="O2105" s="287">
        <f t="shared" si="391"/>
        <v>0</v>
      </c>
      <c r="P2105" s="287">
        <f t="shared" si="392"/>
        <v>0</v>
      </c>
      <c r="Q2105" s="288"/>
      <c r="R2105" s="315" t="str">
        <f>IF(P2103&gt;0,"xy","")</f>
        <v/>
      </c>
      <c r="S2105" s="385" t="str">
        <f t="shared" si="409"/>
        <v/>
      </c>
    </row>
    <row r="2106" spans="2:19" ht="13.5" hidden="1" thickBot="1">
      <c r="B2106" s="609" t="s">
        <v>168</v>
      </c>
      <c r="C2106" s="610"/>
      <c r="D2106" s="611" t="s">
        <v>260</v>
      </c>
      <c r="E2106" s="602"/>
      <c r="F2106" s="603">
        <v>20</v>
      </c>
      <c r="G2106" s="604">
        <v>0.78400000000000003</v>
      </c>
      <c r="H2106" s="605">
        <f>IF(F2106=0,0,IF(F2106&lt;=30,(0.7*F2106+1.45)*G2106,((0.7*30+1.45)+0.58*(F2106-30))*G2106))</f>
        <v>12.1128</v>
      </c>
      <c r="I2106" s="675"/>
      <c r="J2106" s="675"/>
      <c r="K2106" s="606">
        <f t="shared" si="407"/>
        <v>0</v>
      </c>
      <c r="L2106" s="607"/>
      <c r="M2106" s="614"/>
      <c r="N2106" s="614"/>
      <c r="O2106" s="287">
        <f t="shared" si="391"/>
        <v>0</v>
      </c>
      <c r="P2106" s="287">
        <f t="shared" si="392"/>
        <v>0</v>
      </c>
      <c r="Q2106" s="288"/>
      <c r="R2106" s="243" t="str">
        <f>IF(P2103&gt;0,"xy","")</f>
        <v/>
      </c>
      <c r="S2106" s="385" t="str">
        <f t="shared" si="409"/>
        <v/>
      </c>
    </row>
    <row r="2107" spans="2:19" ht="13.5" hidden="1" thickBot="1">
      <c r="B2107" s="609" t="s">
        <v>168</v>
      </c>
      <c r="C2107" s="610"/>
      <c r="D2107" s="611" t="s">
        <v>364</v>
      </c>
      <c r="E2107" s="602"/>
      <c r="F2107" s="603">
        <v>20</v>
      </c>
      <c r="G2107" s="604">
        <v>1.44</v>
      </c>
      <c r="H2107" s="605">
        <f>IF(F2107=0,0,IF(F2107&lt;=30,(0.7*F2107+1.45)*G2107,((0.7*30+1.45)+0.58*(F2107-30))*G2107))</f>
        <v>22.247999999999998</v>
      </c>
      <c r="I2107" s="675"/>
      <c r="J2107" s="675"/>
      <c r="K2107" s="606">
        <f t="shared" si="407"/>
        <v>0</v>
      </c>
      <c r="L2107" s="607"/>
      <c r="M2107" s="614"/>
      <c r="N2107" s="614"/>
      <c r="O2107" s="287">
        <f t="shared" si="391"/>
        <v>0</v>
      </c>
      <c r="P2107" s="287">
        <f t="shared" si="392"/>
        <v>0</v>
      </c>
      <c r="Q2107" s="288"/>
      <c r="R2107" s="315" t="str">
        <f>IF(P2103&gt;0,"xy","")</f>
        <v/>
      </c>
      <c r="S2107" s="385" t="str">
        <f t="shared" si="409"/>
        <v/>
      </c>
    </row>
    <row r="2108" spans="2:19" ht="13.5" hidden="1" thickBot="1">
      <c r="B2108" s="609" t="s">
        <v>2080</v>
      </c>
      <c r="C2108" s="610" t="s">
        <v>212</v>
      </c>
      <c r="D2108" s="611" t="s">
        <v>414</v>
      </c>
      <c r="E2108" s="602"/>
      <c r="F2108" s="603"/>
      <c r="G2108" s="604"/>
      <c r="H2108" s="605">
        <f>SUM(H2109:H2112)</f>
        <v>158.25905</v>
      </c>
      <c r="I2108" s="675">
        <v>1706.2</v>
      </c>
      <c r="J2108" s="675">
        <f t="shared" ref="J2108" si="421">IF(ISBLANK(I2108),"",SUM(H2108:I2108))</f>
        <v>1864.4590499999999</v>
      </c>
      <c r="K2108" s="606">
        <f t="shared" si="407"/>
        <v>2262.52</v>
      </c>
      <c r="L2108" s="607" t="s">
        <v>19</v>
      </c>
      <c r="M2108" s="30"/>
      <c r="N2108" s="30"/>
      <c r="O2108" s="287">
        <f t="shared" si="391"/>
        <v>0</v>
      </c>
      <c r="P2108" s="287">
        <f t="shared" si="392"/>
        <v>0</v>
      </c>
      <c r="Q2108" s="288"/>
      <c r="S2108" s="385" t="str">
        <f t="shared" si="409"/>
        <v/>
      </c>
    </row>
    <row r="2109" spans="2:19" ht="13.5" hidden="1" thickBot="1">
      <c r="B2109" s="609" t="s">
        <v>168</v>
      </c>
      <c r="C2109" s="610"/>
      <c r="D2109" s="611" t="s">
        <v>218</v>
      </c>
      <c r="E2109" s="602"/>
      <c r="F2109" s="603">
        <v>500</v>
      </c>
      <c r="G2109" s="604">
        <v>0.187</v>
      </c>
      <c r="H2109" s="605">
        <f>IF(F2109&lt;=30,(0.51*F2109+4.28)*G2109,((0.51*30+4.28)+0.42*(F2109-30))*G2109)</f>
        <v>40.57526</v>
      </c>
      <c r="I2109" s="675"/>
      <c r="J2109" s="675"/>
      <c r="K2109" s="606">
        <f t="shared" si="407"/>
        <v>0</v>
      </c>
      <c r="L2109" s="607"/>
      <c r="M2109" s="614"/>
      <c r="N2109" s="614"/>
      <c r="O2109" s="287">
        <f t="shared" si="391"/>
        <v>0</v>
      </c>
      <c r="P2109" s="287">
        <f t="shared" si="392"/>
        <v>0</v>
      </c>
      <c r="Q2109" s="288"/>
      <c r="R2109" s="315" t="str">
        <f>IF(P2108&gt;0,"xy","")</f>
        <v/>
      </c>
      <c r="S2109" s="385" t="str">
        <f t="shared" si="409"/>
        <v/>
      </c>
    </row>
    <row r="2110" spans="2:19" ht="13.5" hidden="1" thickBot="1">
      <c r="B2110" s="609" t="s">
        <v>168</v>
      </c>
      <c r="C2110" s="610"/>
      <c r="D2110" s="611" t="s">
        <v>256</v>
      </c>
      <c r="E2110" s="602"/>
      <c r="F2110" s="603">
        <v>180</v>
      </c>
      <c r="G2110" s="604">
        <v>0.67830000000000001</v>
      </c>
      <c r="H2110" s="605">
        <f>IF(F2110=0,0,IF(F2110&lt;=30,(0.7*F2110+1.45)*G2110,((0.7*30+1.45)+0.58*(F2110-30))*G2110))</f>
        <v>74.239935000000003</v>
      </c>
      <c r="I2110" s="675"/>
      <c r="J2110" s="675"/>
      <c r="K2110" s="606">
        <f t="shared" si="407"/>
        <v>0</v>
      </c>
      <c r="L2110" s="607"/>
      <c r="M2110" s="614"/>
      <c r="N2110" s="614"/>
      <c r="O2110" s="287">
        <f t="shared" si="391"/>
        <v>0</v>
      </c>
      <c r="P2110" s="287">
        <f t="shared" si="392"/>
        <v>0</v>
      </c>
      <c r="Q2110" s="288"/>
      <c r="R2110" s="315" t="str">
        <f>IF(P2108&gt;0,"xy","")</f>
        <v/>
      </c>
      <c r="S2110" s="385" t="str">
        <f t="shared" si="409"/>
        <v/>
      </c>
    </row>
    <row r="2111" spans="2:19" ht="13.5" hidden="1" thickBot="1">
      <c r="B2111" s="609" t="s">
        <v>168</v>
      </c>
      <c r="C2111" s="610"/>
      <c r="D2111" s="611" t="s">
        <v>260</v>
      </c>
      <c r="E2111" s="602"/>
      <c r="F2111" s="603">
        <v>20</v>
      </c>
      <c r="G2111" s="604">
        <v>1.1618999999999999</v>
      </c>
      <c r="H2111" s="605">
        <f>IF(F2111=0,0,IF(F2111&lt;=30,(0.7*F2111+1.45)*G2111,((0.7*30+1.45)+0.58*(F2111-30))*G2111))</f>
        <v>17.951355</v>
      </c>
      <c r="I2111" s="675"/>
      <c r="J2111" s="675"/>
      <c r="K2111" s="606">
        <f t="shared" si="407"/>
        <v>0</v>
      </c>
      <c r="L2111" s="607"/>
      <c r="M2111" s="614"/>
      <c r="N2111" s="614"/>
      <c r="O2111" s="287">
        <f t="shared" si="391"/>
        <v>0</v>
      </c>
      <c r="P2111" s="287">
        <f t="shared" si="392"/>
        <v>0</v>
      </c>
      <c r="Q2111" s="288"/>
      <c r="R2111" s="243" t="str">
        <f>IF(P2108&gt;0,"xy","")</f>
        <v/>
      </c>
      <c r="S2111" s="385" t="str">
        <f t="shared" si="409"/>
        <v/>
      </c>
    </row>
    <row r="2112" spans="2:19" ht="13.5" hidden="1" thickBot="1">
      <c r="B2112" s="609" t="s">
        <v>168</v>
      </c>
      <c r="C2112" s="610"/>
      <c r="D2112" s="611" t="s">
        <v>364</v>
      </c>
      <c r="E2112" s="602"/>
      <c r="F2112" s="603">
        <v>20</v>
      </c>
      <c r="G2112" s="604">
        <v>1.65</v>
      </c>
      <c r="H2112" s="605">
        <f>IF(F2112=0,0,IF(F2112&lt;=30,(0.7*F2112+1.45)*G2112,((0.7*30+1.45)+0.58*(F2112-30))*G2112))</f>
        <v>25.492499999999996</v>
      </c>
      <c r="I2112" s="675"/>
      <c r="J2112" s="675"/>
      <c r="K2112" s="606">
        <f t="shared" si="407"/>
        <v>0</v>
      </c>
      <c r="L2112" s="607"/>
      <c r="M2112" s="614"/>
      <c r="N2112" s="614"/>
      <c r="O2112" s="287">
        <f t="shared" si="391"/>
        <v>0</v>
      </c>
      <c r="P2112" s="287">
        <f t="shared" si="392"/>
        <v>0</v>
      </c>
      <c r="Q2112" s="288"/>
      <c r="R2112" s="315" t="str">
        <f>IF(P2108&gt;0,"xy","")</f>
        <v/>
      </c>
      <c r="S2112" s="385" t="str">
        <f t="shared" si="409"/>
        <v/>
      </c>
    </row>
    <row r="2113" spans="2:19" ht="13.5" hidden="1" thickBot="1">
      <c r="B2113" s="609" t="s">
        <v>2081</v>
      </c>
      <c r="C2113" s="610" t="s">
        <v>212</v>
      </c>
      <c r="D2113" s="611" t="s">
        <v>415</v>
      </c>
      <c r="E2113" s="602"/>
      <c r="F2113" s="603"/>
      <c r="G2113" s="604"/>
      <c r="H2113" s="605">
        <f>SUM(H2114:H2117)</f>
        <v>216.43728800000002</v>
      </c>
      <c r="I2113" s="675">
        <v>2233.6336000000001</v>
      </c>
      <c r="J2113" s="675">
        <f t="shared" ref="J2113" si="422">IF(ISBLANK(I2113),"",SUM(H2113:I2113))</f>
        <v>2450.0708880000002</v>
      </c>
      <c r="K2113" s="606">
        <f t="shared" si="407"/>
        <v>2973.16</v>
      </c>
      <c r="L2113" s="607" t="s">
        <v>19</v>
      </c>
      <c r="M2113" s="30"/>
      <c r="N2113" s="30"/>
      <c r="O2113" s="287">
        <f t="shared" si="391"/>
        <v>0</v>
      </c>
      <c r="P2113" s="287">
        <f t="shared" si="392"/>
        <v>0</v>
      </c>
      <c r="Q2113" s="288"/>
      <c r="S2113" s="385" t="str">
        <f t="shared" si="409"/>
        <v/>
      </c>
    </row>
    <row r="2114" spans="2:19" ht="13.5" hidden="1" thickBot="1">
      <c r="B2114" s="609" t="s">
        <v>168</v>
      </c>
      <c r="C2114" s="610"/>
      <c r="D2114" s="611" t="s">
        <v>218</v>
      </c>
      <c r="E2114" s="602"/>
      <c r="F2114" s="603">
        <v>500</v>
      </c>
      <c r="G2114" s="604">
        <v>0.27410000000000001</v>
      </c>
      <c r="H2114" s="605">
        <f>IF(F2114&lt;=30,(0.51*F2114+4.28)*G2114,((0.51*30+4.28)+0.42*(F2114-30))*G2114)</f>
        <v>59.474218000000008</v>
      </c>
      <c r="I2114" s="675"/>
      <c r="J2114" s="675"/>
      <c r="K2114" s="606">
        <f t="shared" si="407"/>
        <v>0</v>
      </c>
      <c r="L2114" s="607"/>
      <c r="M2114" s="614"/>
      <c r="N2114" s="614"/>
      <c r="O2114" s="287">
        <f t="shared" si="391"/>
        <v>0</v>
      </c>
      <c r="P2114" s="287">
        <f t="shared" si="392"/>
        <v>0</v>
      </c>
      <c r="Q2114" s="288"/>
      <c r="R2114" s="315" t="str">
        <f>IF(P2113&gt;0,"xy","")</f>
        <v/>
      </c>
      <c r="S2114" s="385" t="str">
        <f t="shared" si="409"/>
        <v/>
      </c>
    </row>
    <row r="2115" spans="2:19" ht="13.5" hidden="1" thickBot="1">
      <c r="B2115" s="609" t="s">
        <v>168</v>
      </c>
      <c r="C2115" s="610"/>
      <c r="D2115" s="611" t="s">
        <v>256</v>
      </c>
      <c r="E2115" s="602"/>
      <c r="F2115" s="603">
        <v>180</v>
      </c>
      <c r="G2115" s="604">
        <v>0.9748</v>
      </c>
      <c r="H2115" s="605">
        <f>IF(F2115=0,0,IF(F2115&lt;=30,(0.7*F2115+1.45)*G2115,((0.7*30+1.45)+0.58*(F2115-30))*G2115))</f>
        <v>106.69186000000001</v>
      </c>
      <c r="I2115" s="675"/>
      <c r="J2115" s="675"/>
      <c r="K2115" s="606">
        <f t="shared" si="407"/>
        <v>0</v>
      </c>
      <c r="L2115" s="607"/>
      <c r="M2115" s="614"/>
      <c r="N2115" s="614"/>
      <c r="O2115" s="287">
        <f t="shared" si="391"/>
        <v>0</v>
      </c>
      <c r="P2115" s="287">
        <f t="shared" si="392"/>
        <v>0</v>
      </c>
      <c r="Q2115" s="288"/>
      <c r="R2115" s="315" t="str">
        <f>IF(P2113&gt;0,"xy","")</f>
        <v/>
      </c>
      <c r="S2115" s="385" t="str">
        <f t="shared" si="409"/>
        <v/>
      </c>
    </row>
    <row r="2116" spans="2:19" ht="13.5" hidden="1" thickBot="1">
      <c r="B2116" s="609" t="s">
        <v>168</v>
      </c>
      <c r="C2116" s="610"/>
      <c r="D2116" s="611" t="s">
        <v>260</v>
      </c>
      <c r="E2116" s="602"/>
      <c r="F2116" s="603">
        <v>20</v>
      </c>
      <c r="G2116" s="604">
        <v>2.2538</v>
      </c>
      <c r="H2116" s="605">
        <f>IF(F2116=0,0,IF(F2116&lt;=30,(0.7*F2116+1.45)*G2116,((0.7*30+1.45)+0.58*(F2116-30))*G2116))</f>
        <v>34.821210000000001</v>
      </c>
      <c r="I2116" s="675"/>
      <c r="J2116" s="675"/>
      <c r="K2116" s="606">
        <f t="shared" si="407"/>
        <v>0</v>
      </c>
      <c r="L2116" s="607"/>
      <c r="M2116" s="614"/>
      <c r="N2116" s="614"/>
      <c r="O2116" s="287">
        <f t="shared" si="391"/>
        <v>0</v>
      </c>
      <c r="P2116" s="287">
        <f t="shared" si="392"/>
        <v>0</v>
      </c>
      <c r="Q2116" s="288"/>
      <c r="R2116" s="243" t="str">
        <f>IF(P2113&gt;0,"xy","")</f>
        <v/>
      </c>
      <c r="S2116" s="385" t="str">
        <f t="shared" si="409"/>
        <v/>
      </c>
    </row>
    <row r="2117" spans="2:19" ht="13.5" hidden="1" thickBot="1">
      <c r="B2117" s="609" t="s">
        <v>168</v>
      </c>
      <c r="C2117" s="610"/>
      <c r="D2117" s="611" t="s">
        <v>364</v>
      </c>
      <c r="E2117" s="602"/>
      <c r="F2117" s="603">
        <v>20</v>
      </c>
      <c r="G2117" s="604">
        <v>1</v>
      </c>
      <c r="H2117" s="605">
        <f>IF(F2117=0,0,IF(F2117&lt;=30,(0.7*F2117+1.45)*G2117,((0.7*30+1.45)+0.58*(F2117-30))*G2117))</f>
        <v>15.45</v>
      </c>
      <c r="I2117" s="675"/>
      <c r="J2117" s="675"/>
      <c r="K2117" s="606">
        <f t="shared" si="407"/>
        <v>0</v>
      </c>
      <c r="L2117" s="607"/>
      <c r="M2117" s="614"/>
      <c r="N2117" s="614"/>
      <c r="O2117" s="287">
        <f t="shared" si="391"/>
        <v>0</v>
      </c>
      <c r="P2117" s="287">
        <f t="shared" si="392"/>
        <v>0</v>
      </c>
      <c r="Q2117" s="288"/>
      <c r="R2117" s="315" t="str">
        <f>IF(P2113&gt;0,"xy","")</f>
        <v/>
      </c>
      <c r="S2117" s="385" t="str">
        <f t="shared" si="409"/>
        <v/>
      </c>
    </row>
    <row r="2118" spans="2:19" ht="13.5" hidden="1" thickBot="1">
      <c r="B2118" s="609">
        <v>611700</v>
      </c>
      <c r="C2118" s="610" t="s">
        <v>212</v>
      </c>
      <c r="D2118" s="611" t="s">
        <v>416</v>
      </c>
      <c r="E2118" s="602"/>
      <c r="F2118" s="603"/>
      <c r="G2118" s="604"/>
      <c r="H2118" s="605">
        <f>SUM(H2119:H2122)</f>
        <v>250.30898600000003</v>
      </c>
      <c r="I2118" s="675">
        <v>3354.4300000000003</v>
      </c>
      <c r="J2118" s="675">
        <f t="shared" ref="J2118" si="423">IF(ISBLANK(I2118),"",SUM(H2118:I2118))</f>
        <v>3604.7389860000003</v>
      </c>
      <c r="K2118" s="606">
        <f t="shared" si="407"/>
        <v>4374.3500000000004</v>
      </c>
      <c r="L2118" s="607" t="s">
        <v>19</v>
      </c>
      <c r="M2118" s="30"/>
      <c r="N2118" s="30"/>
      <c r="O2118" s="287">
        <f t="shared" si="391"/>
        <v>0</v>
      </c>
      <c r="P2118" s="287">
        <f t="shared" si="392"/>
        <v>0</v>
      </c>
      <c r="Q2118" s="288"/>
      <c r="S2118" s="385" t="str">
        <f t="shared" si="409"/>
        <v/>
      </c>
    </row>
    <row r="2119" spans="2:19" ht="13.5" hidden="1" thickBot="1">
      <c r="B2119" s="609" t="s">
        <v>168</v>
      </c>
      <c r="C2119" s="610"/>
      <c r="D2119" s="611" t="s">
        <v>218</v>
      </c>
      <c r="E2119" s="602"/>
      <c r="F2119" s="603">
        <v>500</v>
      </c>
      <c r="G2119" s="604">
        <v>0.30620000000000003</v>
      </c>
      <c r="H2119" s="605">
        <f>IF(F2119&lt;=30,(0.51*F2119+4.28)*G2119,((0.51*30+4.28)+0.42*(F2119-30))*G2119)</f>
        <v>66.439276000000007</v>
      </c>
      <c r="I2119" s="675"/>
      <c r="J2119" s="675"/>
      <c r="K2119" s="606">
        <f t="shared" si="407"/>
        <v>0</v>
      </c>
      <c r="L2119" s="607"/>
      <c r="M2119" s="614"/>
      <c r="N2119" s="614"/>
      <c r="O2119" s="287">
        <f t="shared" si="391"/>
        <v>0</v>
      </c>
      <c r="P2119" s="287">
        <f t="shared" si="392"/>
        <v>0</v>
      </c>
      <c r="Q2119" s="288"/>
      <c r="R2119" s="315" t="str">
        <f>IF(P2118&gt;0,"xy","")</f>
        <v/>
      </c>
      <c r="S2119" s="385" t="str">
        <f t="shared" si="409"/>
        <v/>
      </c>
    </row>
    <row r="2120" spans="2:19" ht="13.5" hidden="1" thickBot="1">
      <c r="B2120" s="609" t="s">
        <v>168</v>
      </c>
      <c r="C2120" s="610"/>
      <c r="D2120" s="611" t="s">
        <v>256</v>
      </c>
      <c r="E2120" s="602"/>
      <c r="F2120" s="603">
        <v>180</v>
      </c>
      <c r="G2120" s="604">
        <v>1.1047</v>
      </c>
      <c r="H2120" s="605">
        <f>IF(F2120=0,0,IF(F2120&lt;=30,(0.7*F2120+1.45)*G2120,((0.7*30+1.45)+0.58*(F2120-30))*G2120))</f>
        <v>120.90941500000001</v>
      </c>
      <c r="I2120" s="675"/>
      <c r="J2120" s="675"/>
      <c r="K2120" s="606">
        <f t="shared" si="407"/>
        <v>0</v>
      </c>
      <c r="L2120" s="607"/>
      <c r="M2120" s="614"/>
      <c r="N2120" s="614"/>
      <c r="O2120" s="287">
        <f t="shared" si="391"/>
        <v>0</v>
      </c>
      <c r="P2120" s="287">
        <f t="shared" si="392"/>
        <v>0</v>
      </c>
      <c r="Q2120" s="288"/>
      <c r="R2120" s="315" t="str">
        <f>IF(P2118&gt;0,"xy","")</f>
        <v/>
      </c>
      <c r="S2120" s="385" t="str">
        <f t="shared" ref="S2120:S2183" si="424">IF(R2120="x","x",IF(R2120="y","x",IF(R2120="xy","x",IF(P2120&gt;0,"x",""))))</f>
        <v/>
      </c>
    </row>
    <row r="2121" spans="2:19" ht="13.5" hidden="1" thickBot="1">
      <c r="B2121" s="609" t="s">
        <v>168</v>
      </c>
      <c r="C2121" s="610"/>
      <c r="D2121" s="611" t="s">
        <v>260</v>
      </c>
      <c r="E2121" s="602"/>
      <c r="F2121" s="603">
        <v>20</v>
      </c>
      <c r="G2121" s="604">
        <v>1.9251</v>
      </c>
      <c r="H2121" s="605">
        <f>IF(F2121=0,0,IF(F2121&lt;=30,(0.7*F2121+1.45)*G2121,((0.7*30+1.45)+0.58*(F2121-30))*G2121))</f>
        <v>29.742794999999997</v>
      </c>
      <c r="I2121" s="675"/>
      <c r="J2121" s="675"/>
      <c r="K2121" s="606">
        <f t="shared" ref="K2121:K2184" si="425">IF(ISBLANK(I2121),0,ROUND(J2121*(1+$F$10)*(1+$F$11*E2121),2))</f>
        <v>0</v>
      </c>
      <c r="L2121" s="607"/>
      <c r="M2121" s="614"/>
      <c r="N2121" s="614"/>
      <c r="O2121" s="287">
        <f t="shared" si="391"/>
        <v>0</v>
      </c>
      <c r="P2121" s="287">
        <f t="shared" si="392"/>
        <v>0</v>
      </c>
      <c r="Q2121" s="288"/>
      <c r="R2121" s="243" t="str">
        <f>IF(P2118&gt;0,"xy","")</f>
        <v/>
      </c>
      <c r="S2121" s="385" t="str">
        <f t="shared" si="424"/>
        <v/>
      </c>
    </row>
    <row r="2122" spans="2:19" ht="13.5" hidden="1" thickBot="1">
      <c r="B2122" s="609" t="s">
        <v>168</v>
      </c>
      <c r="C2122" s="610"/>
      <c r="D2122" s="611" t="s">
        <v>364</v>
      </c>
      <c r="E2122" s="602"/>
      <c r="F2122" s="603">
        <v>20</v>
      </c>
      <c r="G2122" s="604">
        <v>2.15</v>
      </c>
      <c r="H2122" s="605">
        <f>IF(F2122=0,0,IF(F2122&lt;=30,(0.7*F2122+1.45)*G2122,((0.7*30+1.45)+0.58*(F2122-30))*G2122))</f>
        <v>33.217499999999994</v>
      </c>
      <c r="I2122" s="675"/>
      <c r="J2122" s="675"/>
      <c r="K2122" s="606">
        <f t="shared" si="425"/>
        <v>0</v>
      </c>
      <c r="L2122" s="607"/>
      <c r="M2122" s="614"/>
      <c r="N2122" s="614"/>
      <c r="O2122" s="287">
        <f t="shared" si="391"/>
        <v>0</v>
      </c>
      <c r="P2122" s="287">
        <f t="shared" si="392"/>
        <v>0</v>
      </c>
      <c r="Q2122" s="288"/>
      <c r="R2122" s="315" t="str">
        <f>IF(P2118&gt;0,"xy","")</f>
        <v/>
      </c>
      <c r="S2122" s="385" t="str">
        <f t="shared" si="424"/>
        <v/>
      </c>
    </row>
    <row r="2123" spans="2:19" ht="13.5" hidden="1" thickBot="1">
      <c r="B2123" s="609" t="s">
        <v>24</v>
      </c>
      <c r="C2123" s="610" t="s">
        <v>212</v>
      </c>
      <c r="D2123" s="611" t="s">
        <v>69</v>
      </c>
      <c r="E2123" s="602"/>
      <c r="F2123" s="603"/>
      <c r="G2123" s="604"/>
      <c r="H2123" s="605">
        <f>SUM(H2124:H2128)</f>
        <v>124.690641492</v>
      </c>
      <c r="I2123" s="675">
        <f>VLOOKUP(D2123,'ENSAIOS DE ORÇAMENTO'!$C$3:$L$79,8,FALSE)</f>
        <v>1106.2077400000001</v>
      </c>
      <c r="J2123" s="675">
        <f t="shared" ref="J2123" si="426">IF(ISBLANK(I2123),"",SUM(H2123:I2123))</f>
        <v>1230.898381492</v>
      </c>
      <c r="K2123" s="606">
        <f t="shared" si="425"/>
        <v>1493.7</v>
      </c>
      <c r="L2123" s="607" t="s">
        <v>21</v>
      </c>
      <c r="M2123" s="30"/>
      <c r="N2123" s="30"/>
      <c r="O2123" s="287">
        <f t="shared" si="391"/>
        <v>0</v>
      </c>
      <c r="P2123" s="287">
        <f t="shared" si="392"/>
        <v>0</v>
      </c>
      <c r="Q2123" s="288"/>
      <c r="S2123" s="385" t="str">
        <f t="shared" si="424"/>
        <v/>
      </c>
    </row>
    <row r="2124" spans="2:19" ht="13.5" hidden="1" thickBot="1">
      <c r="B2124" s="609" t="s">
        <v>168</v>
      </c>
      <c r="C2124" s="610"/>
      <c r="D2124" s="611" t="s">
        <v>218</v>
      </c>
      <c r="E2124" s="602"/>
      <c r="F2124" s="603">
        <v>500</v>
      </c>
      <c r="G2124" s="604">
        <f>VLOOKUP(D2123,'ENSAIOS DE ORÇAMENTO'!$C$3:$L$79,4,FALSE)</f>
        <v>0.11541040000000001</v>
      </c>
      <c r="H2124" s="605">
        <f>IF(F2124&lt;=30,(0.51*F2124+4.28)*G2124,((0.51*30+4.28)+0.42*(F2124-30))*G2124)</f>
        <v>25.041748592000005</v>
      </c>
      <c r="I2124" s="675"/>
      <c r="J2124" s="675"/>
      <c r="K2124" s="606">
        <f t="shared" si="425"/>
        <v>0</v>
      </c>
      <c r="L2124" s="607"/>
      <c r="M2124" s="614"/>
      <c r="N2124" s="614"/>
      <c r="O2124" s="287">
        <f t="shared" si="391"/>
        <v>0</v>
      </c>
      <c r="P2124" s="287">
        <f t="shared" si="392"/>
        <v>0</v>
      </c>
      <c r="Q2124" s="288"/>
      <c r="R2124" s="315" t="str">
        <f>IF(P2123&gt;0,"xy","")</f>
        <v/>
      </c>
      <c r="S2124" s="385" t="str">
        <f t="shared" si="424"/>
        <v/>
      </c>
    </row>
    <row r="2125" spans="2:19" ht="13.5" hidden="1" thickBot="1">
      <c r="B2125" s="609" t="s">
        <v>168</v>
      </c>
      <c r="C2125" s="610"/>
      <c r="D2125" s="611" t="s">
        <v>256</v>
      </c>
      <c r="E2125" s="602"/>
      <c r="F2125" s="603">
        <v>180</v>
      </c>
      <c r="G2125" s="604">
        <f>VLOOKUP(D2123,'ENSAIOS DE ORÇAMENTO'!$C$3:$L$79,5,FALSE)</f>
        <v>0.62209000000000003</v>
      </c>
      <c r="H2125" s="605">
        <f>IF(F2125=0,0,IF(F2125&lt;=30,(0.7*F2125+1.45)*G2125,((0.7*30+1.45)+0.58*(F2125-30))*G2125))</f>
        <v>68.087750499999999</v>
      </c>
      <c r="I2125" s="675"/>
      <c r="J2125" s="675"/>
      <c r="K2125" s="606">
        <f t="shared" si="425"/>
        <v>0</v>
      </c>
      <c r="L2125" s="607"/>
      <c r="M2125" s="614"/>
      <c r="N2125" s="614"/>
      <c r="O2125" s="287">
        <f t="shared" si="391"/>
        <v>0</v>
      </c>
      <c r="P2125" s="287">
        <f t="shared" si="392"/>
        <v>0</v>
      </c>
      <c r="Q2125" s="288"/>
      <c r="R2125" s="315" t="str">
        <f>IF(P2123&gt;0,"xy","")</f>
        <v/>
      </c>
      <c r="S2125" s="385" t="str">
        <f t="shared" si="424"/>
        <v/>
      </c>
    </row>
    <row r="2126" spans="2:19" ht="13.5" hidden="1" thickBot="1">
      <c r="B2126" s="609" t="s">
        <v>168</v>
      </c>
      <c r="C2126" s="610"/>
      <c r="D2126" s="611" t="s">
        <v>260</v>
      </c>
      <c r="E2126" s="602"/>
      <c r="F2126" s="603">
        <v>20</v>
      </c>
      <c r="G2126" s="604">
        <f>VLOOKUP(D2123,'ENSAIOS DE ORÇAMENTO'!$C$3:$L$79,6,FALSE)</f>
        <v>0.20424000000000003</v>
      </c>
      <c r="H2126" s="605">
        <f>IF(F2126=0,0,IF(F2126&lt;=30,(0.7*F2126+1.45)*G2126,((0.7*30+1.45)+0.58*(F2126-30))*G2126))</f>
        <v>3.1555080000000002</v>
      </c>
      <c r="I2126" s="675"/>
      <c r="J2126" s="675"/>
      <c r="K2126" s="606">
        <f t="shared" si="425"/>
        <v>0</v>
      </c>
      <c r="L2126" s="607"/>
      <c r="M2126" s="614"/>
      <c r="N2126" s="614"/>
      <c r="O2126" s="287">
        <f t="shared" si="391"/>
        <v>0</v>
      </c>
      <c r="P2126" s="287">
        <f t="shared" si="392"/>
        <v>0</v>
      </c>
      <c r="Q2126" s="288"/>
      <c r="R2126" s="243" t="str">
        <f>IF(P2123&gt;0,"xy","")</f>
        <v/>
      </c>
      <c r="S2126" s="385" t="str">
        <f t="shared" si="424"/>
        <v/>
      </c>
    </row>
    <row r="2127" spans="2:19" ht="13.5" hidden="1" thickBot="1">
      <c r="B2127" s="609" t="s">
        <v>168</v>
      </c>
      <c r="C2127" s="610"/>
      <c r="D2127" s="611" t="s">
        <v>417</v>
      </c>
      <c r="E2127" s="602"/>
      <c r="F2127" s="603">
        <v>30</v>
      </c>
      <c r="G2127" s="604">
        <f>VLOOKUP(D2123,'ENSAIOS DE ORÇAMENTO'!$C$3:$L$79,3,FALSE)</f>
        <v>0.87983999999999996</v>
      </c>
      <c r="H2127" s="605">
        <f>IF(F2127=0,0,IF(F2127&lt;=30,(0.7*F2127+1.45)*G2127,((0.7*30+1.45)+0.58*(F2127-30))*G2127))</f>
        <v>19.752407999999999</v>
      </c>
      <c r="I2127" s="675"/>
      <c r="J2127" s="675"/>
      <c r="K2127" s="606">
        <f t="shared" si="425"/>
        <v>0</v>
      </c>
      <c r="L2127" s="607"/>
      <c r="M2127" s="614"/>
      <c r="N2127" s="614"/>
      <c r="O2127" s="287">
        <f t="shared" si="391"/>
        <v>0</v>
      </c>
      <c r="P2127" s="287">
        <f t="shared" si="392"/>
        <v>0</v>
      </c>
      <c r="Q2127" s="288"/>
      <c r="R2127" s="315" t="str">
        <f>IF(P2123&gt;0,"xy","")</f>
        <v/>
      </c>
      <c r="S2127" s="385" t="str">
        <f t="shared" si="424"/>
        <v/>
      </c>
    </row>
    <row r="2128" spans="2:19" ht="13.5" hidden="1" thickBot="1">
      <c r="B2128" s="609" t="s">
        <v>168</v>
      </c>
      <c r="C2128" s="610"/>
      <c r="D2128" s="611" t="s">
        <v>418</v>
      </c>
      <c r="E2128" s="602"/>
      <c r="F2128" s="603">
        <v>500</v>
      </c>
      <c r="G2128" s="604">
        <f>VLOOKUP(D2123,'ENSAIOS DE ORÇAMENTO'!$C$3:$L$79,10,FALSE)</f>
        <v>2.9328E-2</v>
      </c>
      <c r="H2128" s="605">
        <f>IF(F2128=0,0,IF(F2128&lt;=30,(0.7*F2128+1.45)*G2128,((0.7*30+1.45)+0.58*(F2128-30))*G2128))</f>
        <v>8.6532263999999994</v>
      </c>
      <c r="I2128" s="675"/>
      <c r="J2128" s="675"/>
      <c r="K2128" s="606">
        <f t="shared" si="425"/>
        <v>0</v>
      </c>
      <c r="L2128" s="607"/>
      <c r="M2128" s="614"/>
      <c r="N2128" s="614"/>
      <c r="O2128" s="287">
        <f t="shared" si="391"/>
        <v>0</v>
      </c>
      <c r="P2128" s="287">
        <f t="shared" si="392"/>
        <v>0</v>
      </c>
      <c r="Q2128" s="288"/>
      <c r="R2128" s="315" t="str">
        <f>IF(P2123&gt;0,"xy","")</f>
        <v/>
      </c>
      <c r="S2128" s="385" t="str">
        <f t="shared" si="424"/>
        <v/>
      </c>
    </row>
    <row r="2129" spans="2:19" ht="13.5" hidden="1" thickBot="1">
      <c r="B2129" s="609" t="s">
        <v>25</v>
      </c>
      <c r="C2129" s="610" t="s">
        <v>212</v>
      </c>
      <c r="D2129" s="611" t="s">
        <v>70</v>
      </c>
      <c r="E2129" s="602"/>
      <c r="F2129" s="603"/>
      <c r="G2129" s="604"/>
      <c r="H2129" s="605">
        <f>SUM(H2130:H2134)</f>
        <v>147.55104584000003</v>
      </c>
      <c r="I2129" s="675">
        <f>VLOOKUP(D2129,'ENSAIOS DE ORÇAMENTO'!$C$3:$L$79,8,FALSE)</f>
        <v>1221.9025200000001</v>
      </c>
      <c r="J2129" s="675">
        <f t="shared" ref="J2129" si="427">IF(ISBLANK(I2129),"",SUM(H2129:I2129))</f>
        <v>1369.45356584</v>
      </c>
      <c r="K2129" s="606">
        <f t="shared" si="425"/>
        <v>1661.83</v>
      </c>
      <c r="L2129" s="607" t="s">
        <v>21</v>
      </c>
      <c r="M2129" s="30"/>
      <c r="N2129" s="30"/>
      <c r="O2129" s="287">
        <f t="shared" si="391"/>
        <v>0</v>
      </c>
      <c r="P2129" s="287">
        <f t="shared" si="392"/>
        <v>0</v>
      </c>
      <c r="Q2129" s="288"/>
      <c r="S2129" s="385" t="str">
        <f t="shared" si="424"/>
        <v/>
      </c>
    </row>
    <row r="2130" spans="2:19" ht="13.5" hidden="1" thickBot="1">
      <c r="B2130" s="609" t="s">
        <v>168</v>
      </c>
      <c r="C2130" s="610"/>
      <c r="D2130" s="611" t="s">
        <v>218</v>
      </c>
      <c r="E2130" s="602"/>
      <c r="F2130" s="603">
        <v>500</v>
      </c>
      <c r="G2130" s="604">
        <f>VLOOKUP(D2129,'ENSAIOS DE ORÇAMENTO'!$C$3:$L$79,4,FALSE)</f>
        <v>0.132608</v>
      </c>
      <c r="H2130" s="605">
        <f>IF(F2130&lt;=30,(0.51*F2130+4.28)*G2130,((0.51*30+4.28)+0.42*(F2130-30))*G2130)</f>
        <v>28.773283840000005</v>
      </c>
      <c r="I2130" s="675"/>
      <c r="J2130" s="675"/>
      <c r="K2130" s="606">
        <f t="shared" si="425"/>
        <v>0</v>
      </c>
      <c r="L2130" s="607"/>
      <c r="M2130" s="614"/>
      <c r="N2130" s="614"/>
      <c r="O2130" s="287">
        <f t="shared" si="391"/>
        <v>0</v>
      </c>
      <c r="P2130" s="287">
        <f t="shared" si="392"/>
        <v>0</v>
      </c>
      <c r="Q2130" s="288"/>
      <c r="R2130" s="315" t="str">
        <f>IF(P2129&gt;0,"xy","")</f>
        <v/>
      </c>
      <c r="S2130" s="385" t="str">
        <f t="shared" si="424"/>
        <v/>
      </c>
    </row>
    <row r="2131" spans="2:19" ht="13.5" hidden="1" thickBot="1">
      <c r="B2131" s="609" t="s">
        <v>168</v>
      </c>
      <c r="C2131" s="610"/>
      <c r="D2131" s="611" t="s">
        <v>256</v>
      </c>
      <c r="E2131" s="602"/>
      <c r="F2131" s="603">
        <v>180</v>
      </c>
      <c r="G2131" s="604">
        <f>VLOOKUP(D2129,'ENSAIOS DE ORÇAMENTO'!$C$3:$L$79,5,FALSE)</f>
        <v>0.73198000000000008</v>
      </c>
      <c r="H2131" s="605">
        <f>IF(F2131=0,0,IF(F2131&lt;=30,(0.7*F2131+1.45)*G2131,((0.7*30+1.45)+0.58*(F2131-30))*G2131))</f>
        <v>80.115211000000016</v>
      </c>
      <c r="I2131" s="675"/>
      <c r="J2131" s="675"/>
      <c r="K2131" s="606">
        <f t="shared" si="425"/>
        <v>0</v>
      </c>
      <c r="L2131" s="607"/>
      <c r="M2131" s="614"/>
      <c r="N2131" s="614"/>
      <c r="O2131" s="287">
        <f t="shared" si="391"/>
        <v>0</v>
      </c>
      <c r="P2131" s="287">
        <f t="shared" si="392"/>
        <v>0</v>
      </c>
      <c r="Q2131" s="288"/>
      <c r="R2131" s="315" t="str">
        <f>IF(P2129&gt;0,"xy","")</f>
        <v/>
      </c>
      <c r="S2131" s="385" t="str">
        <f t="shared" si="424"/>
        <v/>
      </c>
    </row>
    <row r="2132" spans="2:19" ht="13.5" hidden="1" thickBot="1">
      <c r="B2132" s="609" t="s">
        <v>168</v>
      </c>
      <c r="C2132" s="610"/>
      <c r="D2132" s="611" t="s">
        <v>260</v>
      </c>
      <c r="E2132" s="602"/>
      <c r="F2132" s="603">
        <v>20</v>
      </c>
      <c r="G2132" s="604">
        <f>VLOOKUP(D2129,'ENSAIOS DE ORÇAMENTO'!$C$3:$L$79,6,FALSE)</f>
        <v>0.20424000000000003</v>
      </c>
      <c r="H2132" s="605">
        <f>IF(F2132=0,0,IF(F2132&lt;=30,(0.7*F2132+1.45)*G2132,((0.7*30+1.45)+0.58*(F2132-30))*G2132))</f>
        <v>3.1555080000000002</v>
      </c>
      <c r="I2132" s="675"/>
      <c r="J2132" s="675"/>
      <c r="K2132" s="606">
        <f t="shared" si="425"/>
        <v>0</v>
      </c>
      <c r="L2132" s="607"/>
      <c r="M2132" s="614"/>
      <c r="N2132" s="614"/>
      <c r="O2132" s="287">
        <f t="shared" si="391"/>
        <v>0</v>
      </c>
      <c r="P2132" s="287">
        <f t="shared" si="392"/>
        <v>0</v>
      </c>
      <c r="Q2132" s="288"/>
      <c r="R2132" s="243" t="str">
        <f>IF(P2129&gt;0,"xy","")</f>
        <v/>
      </c>
      <c r="S2132" s="385" t="str">
        <f t="shared" si="424"/>
        <v/>
      </c>
    </row>
    <row r="2133" spans="2:19" ht="13.5" hidden="1" thickBot="1">
      <c r="B2133" s="609" t="s">
        <v>168</v>
      </c>
      <c r="C2133" s="610"/>
      <c r="D2133" s="611" t="s">
        <v>417</v>
      </c>
      <c r="E2133" s="602"/>
      <c r="F2133" s="603">
        <v>30</v>
      </c>
      <c r="G2133" s="604">
        <f>VLOOKUP(D2129,'ENSAIOS DE ORÇAMENTO'!$C$3:$L$79,3,FALSE)</f>
        <v>1.0998000000000001</v>
      </c>
      <c r="H2133" s="605">
        <f>IF(F2133=0,0,IF(F2133&lt;=30,(0.7*F2133+1.45)*G2133,((0.7*30+1.45)+0.58*(F2133-30))*G2133))</f>
        <v>24.690510000000003</v>
      </c>
      <c r="I2133" s="675"/>
      <c r="J2133" s="675"/>
      <c r="K2133" s="606">
        <f t="shared" si="425"/>
        <v>0</v>
      </c>
      <c r="L2133" s="607"/>
      <c r="M2133" s="614"/>
      <c r="N2133" s="614"/>
      <c r="O2133" s="287">
        <f t="shared" si="391"/>
        <v>0</v>
      </c>
      <c r="P2133" s="287">
        <f t="shared" si="392"/>
        <v>0</v>
      </c>
      <c r="Q2133" s="288"/>
      <c r="R2133" s="315" t="str">
        <f>IF(P2129&gt;0,"xy","")</f>
        <v/>
      </c>
      <c r="S2133" s="385" t="str">
        <f t="shared" si="424"/>
        <v/>
      </c>
    </row>
    <row r="2134" spans="2:19" ht="13.5" hidden="1" thickBot="1">
      <c r="B2134" s="609" t="s">
        <v>168</v>
      </c>
      <c r="C2134" s="610"/>
      <c r="D2134" s="611" t="s">
        <v>418</v>
      </c>
      <c r="E2134" s="602"/>
      <c r="F2134" s="603">
        <v>500</v>
      </c>
      <c r="G2134" s="604">
        <f>VLOOKUP(D2129,'ENSAIOS DE ORÇAMENTO'!$C$3:$L$79,10,FALSE)</f>
        <v>3.6659999999999998E-2</v>
      </c>
      <c r="H2134" s="605">
        <f>IF(F2134=0,0,IF(F2134&lt;=30,(0.7*F2134+1.45)*G2134,((0.7*30+1.45)+0.58*(F2134-30))*G2134))</f>
        <v>10.816532999999998</v>
      </c>
      <c r="I2134" s="675"/>
      <c r="J2134" s="675"/>
      <c r="K2134" s="606">
        <f t="shared" si="425"/>
        <v>0</v>
      </c>
      <c r="L2134" s="607"/>
      <c r="M2134" s="614"/>
      <c r="N2134" s="614"/>
      <c r="O2134" s="287">
        <f t="shared" si="391"/>
        <v>0</v>
      </c>
      <c r="P2134" s="287">
        <f t="shared" si="392"/>
        <v>0</v>
      </c>
      <c r="Q2134" s="288"/>
      <c r="R2134" s="315" t="str">
        <f>IF(P2129&gt;0,"xy","")</f>
        <v/>
      </c>
      <c r="S2134" s="385" t="str">
        <f t="shared" si="424"/>
        <v/>
      </c>
    </row>
    <row r="2135" spans="2:19" ht="13.5" hidden="1" thickBot="1">
      <c r="B2135" s="609" t="s">
        <v>26</v>
      </c>
      <c r="C2135" s="610" t="s">
        <v>212</v>
      </c>
      <c r="D2135" s="611" t="s">
        <v>71</v>
      </c>
      <c r="E2135" s="602"/>
      <c r="F2135" s="603"/>
      <c r="G2135" s="604"/>
      <c r="H2135" s="605">
        <f>SUM(H2136:H2140)</f>
        <v>185.37811652450003</v>
      </c>
      <c r="I2135" s="675">
        <f>VLOOKUP(D2135,'ENSAIOS DE ORÇAMENTO'!$C$3:$L$79,8,FALSE)</f>
        <v>1413.2740275000001</v>
      </c>
      <c r="J2135" s="675">
        <f t="shared" ref="J2135" si="428">IF(ISBLANK(I2135),"",SUM(H2135:I2135))</f>
        <v>1598.6521440245001</v>
      </c>
      <c r="K2135" s="606">
        <f t="shared" si="425"/>
        <v>1939.96</v>
      </c>
      <c r="L2135" s="607" t="s">
        <v>21</v>
      </c>
      <c r="M2135" s="30"/>
      <c r="N2135" s="30"/>
      <c r="O2135" s="287">
        <f t="shared" si="391"/>
        <v>0</v>
      </c>
      <c r="P2135" s="287">
        <f t="shared" si="392"/>
        <v>0</v>
      </c>
      <c r="Q2135" s="288"/>
      <c r="S2135" s="385" t="str">
        <f t="shared" si="424"/>
        <v/>
      </c>
    </row>
    <row r="2136" spans="2:19" ht="13.5" hidden="1" thickBot="1">
      <c r="B2136" s="609" t="s">
        <v>168</v>
      </c>
      <c r="C2136" s="610"/>
      <c r="D2136" s="611" t="s">
        <v>218</v>
      </c>
      <c r="E2136" s="602"/>
      <c r="F2136" s="603">
        <v>500</v>
      </c>
      <c r="G2136" s="604">
        <f>VLOOKUP(D2135,'ENSAIOS DE ORÇAMENTO'!$C$3:$L$79,4,FALSE)</f>
        <v>0.1610819</v>
      </c>
      <c r="H2136" s="605">
        <f>IF(F2136&lt;=30,(0.51*F2136+4.28)*G2136,((0.51*30+4.28)+0.42*(F2136-30))*G2136)</f>
        <v>34.951550662000002</v>
      </c>
      <c r="I2136" s="675"/>
      <c r="J2136" s="675"/>
      <c r="K2136" s="606">
        <f t="shared" si="425"/>
        <v>0</v>
      </c>
      <c r="L2136" s="607"/>
      <c r="M2136" s="614"/>
      <c r="N2136" s="614"/>
      <c r="O2136" s="287">
        <f t="shared" si="391"/>
        <v>0</v>
      </c>
      <c r="P2136" s="287">
        <f t="shared" si="392"/>
        <v>0</v>
      </c>
      <c r="Q2136" s="288"/>
      <c r="R2136" s="315" t="str">
        <f>IF(P2135&gt;0,"xy","")</f>
        <v/>
      </c>
      <c r="S2136" s="385" t="str">
        <f t="shared" si="424"/>
        <v/>
      </c>
    </row>
    <row r="2137" spans="2:19" ht="13.5" hidden="1" thickBot="1">
      <c r="B2137" s="609" t="s">
        <v>168</v>
      </c>
      <c r="C2137" s="610"/>
      <c r="D2137" s="611" t="s">
        <v>256</v>
      </c>
      <c r="E2137" s="602"/>
      <c r="F2137" s="603">
        <v>180</v>
      </c>
      <c r="G2137" s="604">
        <f>VLOOKUP(D2135,'ENSAIOS DE ORÇAMENTO'!$C$3:$L$79,5,FALSE)</f>
        <v>0.91383625000000013</v>
      </c>
      <c r="H2137" s="605">
        <f>IF(F2137=0,0,IF(F2137&lt;=30,(0.7*F2137+1.45)*G2137,((0.7*30+1.45)+0.58*(F2137-30))*G2137))</f>
        <v>100.01937756250001</v>
      </c>
      <c r="I2137" s="675"/>
      <c r="J2137" s="675"/>
      <c r="K2137" s="606">
        <f t="shared" si="425"/>
        <v>0</v>
      </c>
      <c r="L2137" s="607"/>
      <c r="M2137" s="614"/>
      <c r="N2137" s="614"/>
      <c r="O2137" s="287">
        <f t="shared" si="391"/>
        <v>0</v>
      </c>
      <c r="P2137" s="287">
        <f t="shared" si="392"/>
        <v>0</v>
      </c>
      <c r="Q2137" s="288"/>
      <c r="R2137" s="315" t="str">
        <f>IF(P2135&gt;0,"xy","")</f>
        <v/>
      </c>
      <c r="S2137" s="385" t="str">
        <f t="shared" si="424"/>
        <v/>
      </c>
    </row>
    <row r="2138" spans="2:19" ht="13.5" hidden="1" thickBot="1">
      <c r="B2138" s="609" t="s">
        <v>168</v>
      </c>
      <c r="C2138" s="610"/>
      <c r="D2138" s="611" t="s">
        <v>260</v>
      </c>
      <c r="E2138" s="602"/>
      <c r="F2138" s="603">
        <v>20</v>
      </c>
      <c r="G2138" s="604">
        <f>VLOOKUP(D2135,'ENSAIOS DE ORÇAMENTO'!$C$3:$L$79,6,FALSE)</f>
        <v>0.20424000000000003</v>
      </c>
      <c r="H2138" s="605">
        <f>IF(F2138=0,0,IF(F2138&lt;=30,(0.7*F2138+1.45)*G2138,((0.7*30+1.45)+0.58*(F2138-30))*G2138))</f>
        <v>3.1555080000000002</v>
      </c>
      <c r="I2138" s="675"/>
      <c r="J2138" s="675"/>
      <c r="K2138" s="606">
        <f t="shared" si="425"/>
        <v>0</v>
      </c>
      <c r="L2138" s="607"/>
      <c r="M2138" s="614"/>
      <c r="N2138" s="614"/>
      <c r="O2138" s="287">
        <f t="shared" si="391"/>
        <v>0</v>
      </c>
      <c r="P2138" s="287">
        <f t="shared" si="392"/>
        <v>0</v>
      </c>
      <c r="Q2138" s="288"/>
      <c r="R2138" s="243" t="str">
        <f>IF(P2135&gt;0,"xy","")</f>
        <v/>
      </c>
      <c r="S2138" s="385" t="str">
        <f t="shared" si="424"/>
        <v/>
      </c>
    </row>
    <row r="2139" spans="2:19" ht="13.5" hidden="1" thickBot="1">
      <c r="B2139" s="609" t="s">
        <v>168</v>
      </c>
      <c r="C2139" s="610"/>
      <c r="D2139" s="611" t="s">
        <v>417</v>
      </c>
      <c r="E2139" s="602"/>
      <c r="F2139" s="603">
        <v>30</v>
      </c>
      <c r="G2139" s="604">
        <f>VLOOKUP(D2135,'ENSAIOS DE ORÇAMENTO'!$C$3:$L$79,3,FALSE)</f>
        <v>1.4635799999999999</v>
      </c>
      <c r="H2139" s="605">
        <f>IF(F2139=0,0,IF(F2139&lt;=30,(0.7*F2139+1.45)*G2139,((0.7*30+1.45)+0.58*(F2139-30))*G2139))</f>
        <v>32.857370999999993</v>
      </c>
      <c r="I2139" s="675"/>
      <c r="J2139" s="675"/>
      <c r="K2139" s="606">
        <f t="shared" si="425"/>
        <v>0</v>
      </c>
      <c r="L2139" s="607"/>
      <c r="M2139" s="614"/>
      <c r="N2139" s="614"/>
      <c r="O2139" s="287">
        <f t="shared" si="391"/>
        <v>0</v>
      </c>
      <c r="P2139" s="287">
        <f t="shared" si="392"/>
        <v>0</v>
      </c>
      <c r="Q2139" s="288"/>
      <c r="R2139" s="315" t="str">
        <f>IF(P2135&gt;0,"xy","")</f>
        <v/>
      </c>
      <c r="S2139" s="385" t="str">
        <f t="shared" si="424"/>
        <v/>
      </c>
    </row>
    <row r="2140" spans="2:19" ht="13.5" hidden="1" thickBot="1">
      <c r="B2140" s="609" t="s">
        <v>168</v>
      </c>
      <c r="C2140" s="610"/>
      <c r="D2140" s="611" t="s">
        <v>418</v>
      </c>
      <c r="E2140" s="602"/>
      <c r="F2140" s="603">
        <v>500</v>
      </c>
      <c r="G2140" s="604">
        <f>VLOOKUP(D2135,'ENSAIOS DE ORÇAMENTO'!$C$3:$L$79,10,FALSE)</f>
        <v>4.8785999999999996E-2</v>
      </c>
      <c r="H2140" s="605">
        <f>IF(F2140=0,0,IF(F2140&lt;=30,(0.7*F2140+1.45)*G2140,((0.7*30+1.45)+0.58*(F2140-30))*G2140))</f>
        <v>14.394309299999996</v>
      </c>
      <c r="I2140" s="675"/>
      <c r="J2140" s="675"/>
      <c r="K2140" s="606">
        <f t="shared" si="425"/>
        <v>0</v>
      </c>
      <c r="L2140" s="607"/>
      <c r="M2140" s="614"/>
      <c r="N2140" s="614"/>
      <c r="O2140" s="287">
        <f t="shared" si="391"/>
        <v>0</v>
      </c>
      <c r="P2140" s="287">
        <f t="shared" si="392"/>
        <v>0</v>
      </c>
      <c r="Q2140" s="288"/>
      <c r="R2140" s="315" t="str">
        <f>IF(P2135&gt;0,"xy","")</f>
        <v/>
      </c>
      <c r="S2140" s="385" t="str">
        <f t="shared" si="424"/>
        <v/>
      </c>
    </row>
    <row r="2141" spans="2:19" ht="13.5" hidden="1" thickBot="1">
      <c r="B2141" s="609" t="s">
        <v>27</v>
      </c>
      <c r="C2141" s="610" t="s">
        <v>212</v>
      </c>
      <c r="D2141" s="611" t="s">
        <v>72</v>
      </c>
      <c r="E2141" s="602"/>
      <c r="F2141" s="603"/>
      <c r="G2141" s="604"/>
      <c r="H2141" s="605">
        <f>SUM(H2142:H2146)</f>
        <v>224.02599689550001</v>
      </c>
      <c r="I2141" s="675">
        <f>VLOOKUP(D2141,'ENSAIOS DE ORÇAMENTO'!$C$3:$L$79,8,FALSE)</f>
        <v>1609.0049125</v>
      </c>
      <c r="J2141" s="675">
        <f t="shared" ref="J2141" si="429">IF(ISBLANK(I2141),"",SUM(H2141:I2141))</f>
        <v>1833.0309093955</v>
      </c>
      <c r="K2141" s="606">
        <f t="shared" si="425"/>
        <v>2224.38</v>
      </c>
      <c r="L2141" s="607" t="s">
        <v>21</v>
      </c>
      <c r="M2141" s="30"/>
      <c r="N2141" s="30"/>
      <c r="O2141" s="287">
        <f t="shared" si="391"/>
        <v>0</v>
      </c>
      <c r="P2141" s="287">
        <f t="shared" si="392"/>
        <v>0</v>
      </c>
      <c r="Q2141" s="288"/>
      <c r="S2141" s="385" t="str">
        <f t="shared" si="424"/>
        <v/>
      </c>
    </row>
    <row r="2142" spans="2:19" ht="13.5" hidden="1" thickBot="1">
      <c r="B2142" s="609" t="s">
        <v>168</v>
      </c>
      <c r="C2142" s="610"/>
      <c r="D2142" s="611" t="s">
        <v>218</v>
      </c>
      <c r="E2142" s="602"/>
      <c r="F2142" s="603">
        <v>500</v>
      </c>
      <c r="G2142" s="604">
        <f>VLOOKUP(D2141,'ENSAIOS DE ORÇAMENTO'!$C$3:$L$79,4,FALSE)</f>
        <v>0.19012209999999999</v>
      </c>
      <c r="H2142" s="605">
        <f>IF(F2142&lt;=30,(0.51*F2142+4.28)*G2142,((0.51*30+4.28)+0.42*(F2142-30))*G2142)</f>
        <v>41.252693258000001</v>
      </c>
      <c r="I2142" s="675"/>
      <c r="J2142" s="675"/>
      <c r="K2142" s="606">
        <f t="shared" si="425"/>
        <v>0</v>
      </c>
      <c r="L2142" s="607"/>
      <c r="M2142" s="614"/>
      <c r="N2142" s="614"/>
      <c r="O2142" s="287">
        <f t="shared" si="391"/>
        <v>0</v>
      </c>
      <c r="P2142" s="287">
        <f t="shared" si="392"/>
        <v>0</v>
      </c>
      <c r="Q2142" s="288"/>
      <c r="R2142" s="315" t="str">
        <f>IF(P2141&gt;0,"xy","")</f>
        <v/>
      </c>
      <c r="S2142" s="385" t="str">
        <f t="shared" si="424"/>
        <v/>
      </c>
    </row>
    <row r="2143" spans="2:19" ht="13.5" hidden="1" thickBot="1">
      <c r="B2143" s="609" t="s">
        <v>168</v>
      </c>
      <c r="C2143" s="610"/>
      <c r="D2143" s="611" t="s">
        <v>256</v>
      </c>
      <c r="E2143" s="602"/>
      <c r="F2143" s="603">
        <v>180</v>
      </c>
      <c r="G2143" s="604">
        <f>VLOOKUP(D2141,'ENSAIOS DE ORÇAMENTO'!$C$3:$L$79,5,FALSE)</f>
        <v>1.09957375</v>
      </c>
      <c r="H2143" s="605">
        <f>IF(F2143=0,0,IF(F2143&lt;=30,(0.7*F2143+1.45)*G2143,((0.7*30+1.45)+0.58*(F2143-30))*G2143))</f>
        <v>120.34834693750001</v>
      </c>
      <c r="I2143" s="675"/>
      <c r="J2143" s="675"/>
      <c r="K2143" s="606">
        <f t="shared" si="425"/>
        <v>0</v>
      </c>
      <c r="L2143" s="607"/>
      <c r="M2143" s="614"/>
      <c r="N2143" s="614"/>
      <c r="O2143" s="287">
        <f t="shared" si="391"/>
        <v>0</v>
      </c>
      <c r="P2143" s="287">
        <f t="shared" si="392"/>
        <v>0</v>
      </c>
      <c r="Q2143" s="288"/>
      <c r="R2143" s="315" t="str">
        <f>IF(P2141&gt;0,"xy","")</f>
        <v/>
      </c>
      <c r="S2143" s="385" t="str">
        <f t="shared" si="424"/>
        <v/>
      </c>
    </row>
    <row r="2144" spans="2:19" ht="13.5" hidden="1" thickBot="1">
      <c r="B2144" s="609" t="s">
        <v>168</v>
      </c>
      <c r="C2144" s="610"/>
      <c r="D2144" s="611" t="s">
        <v>260</v>
      </c>
      <c r="E2144" s="602"/>
      <c r="F2144" s="603">
        <v>20</v>
      </c>
      <c r="G2144" s="604">
        <f>VLOOKUP(D2141,'ENSAIOS DE ORÇAMENTO'!$C$3:$L$79,6,FALSE)</f>
        <v>0.20424000000000003</v>
      </c>
      <c r="H2144" s="605">
        <f>IF(F2144=0,0,IF(F2144&lt;=30,(0.7*F2144+1.45)*G2144,((0.7*30+1.45)+0.58*(F2144-30))*G2144))</f>
        <v>3.1555080000000002</v>
      </c>
      <c r="I2144" s="675"/>
      <c r="J2144" s="675"/>
      <c r="K2144" s="606">
        <f t="shared" si="425"/>
        <v>0</v>
      </c>
      <c r="L2144" s="607"/>
      <c r="M2144" s="614"/>
      <c r="N2144" s="614"/>
      <c r="O2144" s="287">
        <f t="shared" si="391"/>
        <v>0</v>
      </c>
      <c r="P2144" s="287">
        <f t="shared" si="392"/>
        <v>0</v>
      </c>
      <c r="Q2144" s="288"/>
      <c r="R2144" s="243" t="str">
        <f>IF(P2141&gt;0,"xy","")</f>
        <v/>
      </c>
      <c r="S2144" s="385" t="str">
        <f t="shared" si="424"/>
        <v/>
      </c>
    </row>
    <row r="2145" spans="2:19" ht="13.5" hidden="1" thickBot="1">
      <c r="B2145" s="609" t="s">
        <v>168</v>
      </c>
      <c r="C2145" s="610"/>
      <c r="D2145" s="611" t="s">
        <v>417</v>
      </c>
      <c r="E2145" s="602"/>
      <c r="F2145" s="603">
        <v>30</v>
      </c>
      <c r="G2145" s="604">
        <f>VLOOKUP(D2141,'ENSAIOS DE ORÇAMENTO'!$C$3:$L$79,3,FALSE)</f>
        <v>1.8358199999999998</v>
      </c>
      <c r="H2145" s="605">
        <f>IF(F2145=0,0,IF(F2145&lt;=30,(0.7*F2145+1.45)*G2145,((0.7*30+1.45)+0.58*(F2145-30))*G2145))</f>
        <v>41.214158999999995</v>
      </c>
      <c r="I2145" s="675"/>
      <c r="J2145" s="675"/>
      <c r="K2145" s="606">
        <f t="shared" si="425"/>
        <v>0</v>
      </c>
      <c r="L2145" s="607"/>
      <c r="M2145" s="614"/>
      <c r="N2145" s="614"/>
      <c r="O2145" s="287">
        <f t="shared" si="391"/>
        <v>0</v>
      </c>
      <c r="P2145" s="287">
        <f t="shared" si="392"/>
        <v>0</v>
      </c>
      <c r="Q2145" s="288"/>
      <c r="R2145" s="315" t="str">
        <f>IF(P2141&gt;0,"xy","")</f>
        <v/>
      </c>
      <c r="S2145" s="385" t="str">
        <f t="shared" si="424"/>
        <v/>
      </c>
    </row>
    <row r="2146" spans="2:19" ht="13.5" hidden="1" thickBot="1">
      <c r="B2146" s="609" t="s">
        <v>168</v>
      </c>
      <c r="C2146" s="610"/>
      <c r="D2146" s="611" t="s">
        <v>418</v>
      </c>
      <c r="E2146" s="602"/>
      <c r="F2146" s="603">
        <v>500</v>
      </c>
      <c r="G2146" s="604">
        <f>VLOOKUP(D2141,'ENSAIOS DE ORÇAMENTO'!$C$3:$L$79,10,FALSE)</f>
        <v>6.1193999999999998E-2</v>
      </c>
      <c r="H2146" s="605">
        <f>IF(F2146=0,0,IF(F2146&lt;=30,(0.7*F2146+1.45)*G2146,((0.7*30+1.45)+0.58*(F2146-30))*G2146))</f>
        <v>18.055289699999996</v>
      </c>
      <c r="I2146" s="675"/>
      <c r="J2146" s="675"/>
      <c r="K2146" s="606">
        <f t="shared" si="425"/>
        <v>0</v>
      </c>
      <c r="L2146" s="607"/>
      <c r="M2146" s="614"/>
      <c r="N2146" s="614"/>
      <c r="O2146" s="287">
        <f t="shared" si="391"/>
        <v>0</v>
      </c>
      <c r="P2146" s="287">
        <f t="shared" si="392"/>
        <v>0</v>
      </c>
      <c r="Q2146" s="288"/>
      <c r="R2146" s="315" t="str">
        <f>IF(P2141&gt;0,"xy","")</f>
        <v/>
      </c>
      <c r="S2146" s="385" t="str">
        <f t="shared" si="424"/>
        <v/>
      </c>
    </row>
    <row r="2147" spans="2:19" ht="13.5" hidden="1" thickBot="1">
      <c r="B2147" s="609" t="s">
        <v>113</v>
      </c>
      <c r="C2147" s="610" t="s">
        <v>212</v>
      </c>
      <c r="D2147" s="611" t="s">
        <v>419</v>
      </c>
      <c r="E2147" s="602"/>
      <c r="F2147" s="603"/>
      <c r="G2147" s="604"/>
      <c r="H2147" s="605">
        <f>SUM(H2148:H2152)</f>
        <v>256.23440230000006</v>
      </c>
      <c r="I2147" s="675">
        <f>VLOOKUP(D2147,'ENSAIOS DE ORÇAMENTO'!$C$3:$L$79,8,FALSE)</f>
        <v>895.78926000000001</v>
      </c>
      <c r="J2147" s="675">
        <f t="shared" ref="J2147" si="430">IF(ISBLANK(I2147),"",SUM(H2147:I2147))</f>
        <v>1152.0236623000001</v>
      </c>
      <c r="K2147" s="606">
        <f t="shared" si="425"/>
        <v>1397.98</v>
      </c>
      <c r="L2147" s="607" t="s">
        <v>21</v>
      </c>
      <c r="M2147" s="30"/>
      <c r="N2147" s="30"/>
      <c r="O2147" s="287">
        <f t="shared" si="391"/>
        <v>0</v>
      </c>
      <c r="P2147" s="287">
        <f t="shared" si="392"/>
        <v>0</v>
      </c>
      <c r="Q2147" s="288"/>
      <c r="S2147" s="385" t="str">
        <f t="shared" si="424"/>
        <v/>
      </c>
    </row>
    <row r="2148" spans="2:19" ht="13.5" hidden="1" thickBot="1">
      <c r="B2148" s="609" t="s">
        <v>168</v>
      </c>
      <c r="C2148" s="610"/>
      <c r="D2148" s="611" t="s">
        <v>218</v>
      </c>
      <c r="E2148" s="602"/>
      <c r="F2148" s="603">
        <v>500</v>
      </c>
      <c r="G2148" s="604">
        <f>VLOOKUP(D2147,'ENSAIOS DE ORÇAMENTO'!$C$3:$L$79,4,FALSE)</f>
        <v>0.43266000000000004</v>
      </c>
      <c r="H2148" s="605">
        <f>IF(F2148&lt;=30,(0.51*F2148+4.28)*G2148,((0.51*30+4.28)+0.42*(F2148-30))*G2148)</f>
        <v>93.878566800000016</v>
      </c>
      <c r="I2148" s="675"/>
      <c r="J2148" s="675"/>
      <c r="K2148" s="606">
        <f t="shared" si="425"/>
        <v>0</v>
      </c>
      <c r="L2148" s="607"/>
      <c r="M2148" s="614"/>
      <c r="N2148" s="614"/>
      <c r="O2148" s="287">
        <f t="shared" si="391"/>
        <v>0</v>
      </c>
      <c r="P2148" s="287">
        <f t="shared" si="392"/>
        <v>0</v>
      </c>
      <c r="Q2148" s="288"/>
      <c r="R2148" s="315" t="str">
        <f>IF(P2147&gt;0,"xy","")</f>
        <v/>
      </c>
      <c r="S2148" s="385" t="str">
        <f t="shared" si="424"/>
        <v/>
      </c>
    </row>
    <row r="2149" spans="2:19" ht="13.5" hidden="1" thickBot="1">
      <c r="B2149" s="609" t="s">
        <v>168</v>
      </c>
      <c r="C2149" s="610"/>
      <c r="D2149" s="611" t="s">
        <v>256</v>
      </c>
      <c r="E2149" s="602"/>
      <c r="F2149" s="603">
        <v>180</v>
      </c>
      <c r="G2149" s="604">
        <f>VLOOKUP(D2147,'ENSAIOS DE ORÇAMENTO'!$C$3:$L$79,5,FALSE)</f>
        <v>1.26997</v>
      </c>
      <c r="H2149" s="605">
        <f>IF(F2149=0,0,IF(F2149&lt;=30,(0.7*F2149+1.45)*G2149,((0.7*30+1.45)+0.58*(F2149-30))*G2149))</f>
        <v>138.99821650000001</v>
      </c>
      <c r="I2149" s="675"/>
      <c r="J2149" s="675"/>
      <c r="K2149" s="606">
        <f t="shared" si="425"/>
        <v>0</v>
      </c>
      <c r="L2149" s="607"/>
      <c r="M2149" s="614"/>
      <c r="N2149" s="614"/>
      <c r="O2149" s="287">
        <f t="shared" si="391"/>
        <v>0</v>
      </c>
      <c r="P2149" s="287">
        <f t="shared" si="392"/>
        <v>0</v>
      </c>
      <c r="Q2149" s="288"/>
      <c r="R2149" s="315" t="str">
        <f>IF(P2147&gt;0,"xy","")</f>
        <v/>
      </c>
      <c r="S2149" s="385" t="str">
        <f t="shared" si="424"/>
        <v/>
      </c>
    </row>
    <row r="2150" spans="2:19" ht="13.5" hidden="1" thickBot="1">
      <c r="B2150" s="609" t="s">
        <v>168</v>
      </c>
      <c r="C2150" s="610"/>
      <c r="D2150" s="611" t="s">
        <v>260</v>
      </c>
      <c r="E2150" s="602"/>
      <c r="F2150" s="603">
        <v>20</v>
      </c>
      <c r="G2150" s="604">
        <f>VLOOKUP(D2147,'ENSAIOS DE ORÇAMENTO'!$C$3:$L$79,6,FALSE)</f>
        <v>1.5118200000000002</v>
      </c>
      <c r="H2150" s="605">
        <f>IF(F2150=0,0,IF(F2150&lt;=30,(0.7*F2150+1.45)*G2150,((0.7*30+1.45)+0.58*(F2150-30))*G2150))</f>
        <v>23.357619</v>
      </c>
      <c r="I2150" s="675"/>
      <c r="J2150" s="675"/>
      <c r="K2150" s="606">
        <f t="shared" si="425"/>
        <v>0</v>
      </c>
      <c r="L2150" s="607"/>
      <c r="M2150" s="614"/>
      <c r="N2150" s="614"/>
      <c r="O2150" s="287">
        <f t="shared" si="391"/>
        <v>0</v>
      </c>
      <c r="P2150" s="287">
        <f t="shared" si="392"/>
        <v>0</v>
      </c>
      <c r="Q2150" s="288"/>
      <c r="R2150" s="243" t="str">
        <f>IF(P2147&gt;0,"xy","")</f>
        <v/>
      </c>
      <c r="S2150" s="385" t="str">
        <f t="shared" si="424"/>
        <v/>
      </c>
    </row>
    <row r="2151" spans="2:19" ht="13.5" hidden="1" thickBot="1">
      <c r="B2151" s="609" t="s">
        <v>168</v>
      </c>
      <c r="C2151" s="610"/>
      <c r="D2151" s="611" t="s">
        <v>417</v>
      </c>
      <c r="E2151" s="602"/>
      <c r="F2151" s="603">
        <v>30</v>
      </c>
      <c r="G2151" s="604">
        <f>VLOOKUP(D2147,'ENSAIOS DE ORÇAMENTO'!$C$3:$L$79,3,FALSE)</f>
        <v>0</v>
      </c>
      <c r="H2151" s="605">
        <f>IF(F2151=0,0,IF(F2151&lt;=30,(0.7*F2151+1.45)*G2151,((0.7*30+1.45)+0.58*(F2151-30))*G2151))</f>
        <v>0</v>
      </c>
      <c r="I2151" s="675"/>
      <c r="J2151" s="675"/>
      <c r="K2151" s="606">
        <f t="shared" si="425"/>
        <v>0</v>
      </c>
      <c r="L2151" s="607"/>
      <c r="M2151" s="614"/>
      <c r="N2151" s="614"/>
      <c r="O2151" s="287">
        <f t="shared" si="391"/>
        <v>0</v>
      </c>
      <c r="P2151" s="287">
        <f t="shared" si="392"/>
        <v>0</v>
      </c>
      <c r="Q2151" s="288"/>
      <c r="R2151" s="315" t="str">
        <f>IF(P2147&gt;0,"xy","")</f>
        <v/>
      </c>
      <c r="S2151" s="385" t="str">
        <f t="shared" si="424"/>
        <v/>
      </c>
    </row>
    <row r="2152" spans="2:19" ht="13.5" hidden="1" thickBot="1">
      <c r="B2152" s="609" t="s">
        <v>168</v>
      </c>
      <c r="C2152" s="610"/>
      <c r="D2152" s="611" t="s">
        <v>418</v>
      </c>
      <c r="E2152" s="602"/>
      <c r="F2152" s="603">
        <v>500</v>
      </c>
      <c r="G2152" s="604">
        <f>VLOOKUP(D2147,'ENSAIOS DE ORÇAMENTO'!$C$3:$L$79,10,FALSE)</f>
        <v>0</v>
      </c>
      <c r="H2152" s="605">
        <f>IF(F2152=0,0,IF(F2152&lt;=30,(0.7*F2152+1.45)*G2152,((0.7*30+1.45)+0.58*(F2152-30))*G2152))</f>
        <v>0</v>
      </c>
      <c r="I2152" s="675"/>
      <c r="J2152" s="675"/>
      <c r="K2152" s="606">
        <f t="shared" si="425"/>
        <v>0</v>
      </c>
      <c r="L2152" s="607"/>
      <c r="M2152" s="614"/>
      <c r="N2152" s="614"/>
      <c r="O2152" s="287">
        <f t="shared" si="391"/>
        <v>0</v>
      </c>
      <c r="P2152" s="287">
        <f t="shared" si="392"/>
        <v>0</v>
      </c>
      <c r="Q2152" s="288"/>
      <c r="R2152" s="315" t="str">
        <f>IF(P2147&gt;0,"xy","")</f>
        <v/>
      </c>
      <c r="S2152" s="385" t="str">
        <f t="shared" si="424"/>
        <v/>
      </c>
    </row>
    <row r="2153" spans="2:19" ht="13.5" hidden="1" thickBot="1">
      <c r="B2153" s="609" t="s">
        <v>114</v>
      </c>
      <c r="C2153" s="610" t="s">
        <v>212</v>
      </c>
      <c r="D2153" s="611" t="s">
        <v>420</v>
      </c>
      <c r="E2153" s="602"/>
      <c r="F2153" s="603"/>
      <c r="G2153" s="604">
        <f>G2177</f>
        <v>0</v>
      </c>
      <c r="H2153" s="605">
        <f>SUM(H2154:H2158)</f>
        <v>318.78799780000003</v>
      </c>
      <c r="I2153" s="675">
        <f>VLOOKUP(D2153,'ENSAIOS DE ORÇAMENTO'!$C$3:$L$79,8,FALSE)</f>
        <v>1060.2349600000002</v>
      </c>
      <c r="J2153" s="675">
        <f t="shared" ref="J2153" si="431">IF(ISBLANK(I2153),"",SUM(H2153:I2153))</f>
        <v>1379.0229578000003</v>
      </c>
      <c r="K2153" s="606">
        <f t="shared" si="425"/>
        <v>1673.44</v>
      </c>
      <c r="L2153" s="607" t="s">
        <v>21</v>
      </c>
      <c r="M2153" s="30"/>
      <c r="N2153" s="30"/>
      <c r="O2153" s="287">
        <f t="shared" si="391"/>
        <v>0</v>
      </c>
      <c r="P2153" s="287">
        <f t="shared" si="392"/>
        <v>0</v>
      </c>
      <c r="Q2153" s="288"/>
      <c r="S2153" s="385" t="str">
        <f t="shared" si="424"/>
        <v/>
      </c>
    </row>
    <row r="2154" spans="2:19" ht="13.5" hidden="1" thickBot="1">
      <c r="B2154" s="609" t="s">
        <v>168</v>
      </c>
      <c r="C2154" s="610"/>
      <c r="D2154" s="611" t="s">
        <v>218</v>
      </c>
      <c r="E2154" s="602"/>
      <c r="F2154" s="603">
        <v>500</v>
      </c>
      <c r="G2154" s="604">
        <f>VLOOKUP(D2153,'ENSAIOS DE ORÇAMENTO'!$C$3:$L$79,4,FALSE)</f>
        <v>0.54156000000000004</v>
      </c>
      <c r="H2154" s="605">
        <f>IF(F2154&lt;=30,(0.51*F2154+4.28)*G2154,((0.51*30+4.28)+0.42*(F2154-30))*G2154)</f>
        <v>117.50768880000003</v>
      </c>
      <c r="I2154" s="675"/>
      <c r="J2154" s="675"/>
      <c r="K2154" s="606">
        <f t="shared" si="425"/>
        <v>0</v>
      </c>
      <c r="L2154" s="607"/>
      <c r="M2154" s="614"/>
      <c r="N2154" s="614"/>
      <c r="O2154" s="287">
        <f t="shared" si="391"/>
        <v>0</v>
      </c>
      <c r="P2154" s="287">
        <f t="shared" si="392"/>
        <v>0</v>
      </c>
      <c r="Q2154" s="288"/>
      <c r="R2154" s="315" t="str">
        <f>IF(P2153&gt;0,"xy","")</f>
        <v/>
      </c>
      <c r="S2154" s="385" t="str">
        <f t="shared" si="424"/>
        <v/>
      </c>
    </row>
    <row r="2155" spans="2:19" ht="13.5" hidden="1" thickBot="1">
      <c r="B2155" s="609" t="s">
        <v>168</v>
      </c>
      <c r="C2155" s="610"/>
      <c r="D2155" s="611" t="s">
        <v>256</v>
      </c>
      <c r="E2155" s="602"/>
      <c r="F2155" s="603">
        <v>180</v>
      </c>
      <c r="G2155" s="604">
        <f>VLOOKUP(D2153,'ENSAIOS DE ORÇAMENTO'!$C$3:$L$79,5,FALSE)</f>
        <v>1.5739000000000001</v>
      </c>
      <c r="H2155" s="605">
        <f>IF(F2155=0,0,IF(F2155&lt;=30,(0.7*F2155+1.45)*G2155,((0.7*30+1.45)+0.58*(F2155-30))*G2155))</f>
        <v>172.26335500000002</v>
      </c>
      <c r="I2155" s="675"/>
      <c r="J2155" s="675"/>
      <c r="K2155" s="606">
        <f t="shared" si="425"/>
        <v>0</v>
      </c>
      <c r="L2155" s="607"/>
      <c r="M2155" s="614"/>
      <c r="N2155" s="614"/>
      <c r="O2155" s="287">
        <f t="shared" si="391"/>
        <v>0</v>
      </c>
      <c r="P2155" s="287">
        <f t="shared" si="392"/>
        <v>0</v>
      </c>
      <c r="Q2155" s="288"/>
      <c r="R2155" s="315" t="str">
        <f>IF(P2153&gt;0,"xy","")</f>
        <v/>
      </c>
      <c r="S2155" s="385" t="str">
        <f t="shared" si="424"/>
        <v/>
      </c>
    </row>
    <row r="2156" spans="2:19" ht="13.5" hidden="1" thickBot="1">
      <c r="B2156" s="609" t="s">
        <v>168</v>
      </c>
      <c r="C2156" s="610"/>
      <c r="D2156" s="611" t="s">
        <v>260</v>
      </c>
      <c r="E2156" s="602"/>
      <c r="F2156" s="603">
        <v>20</v>
      </c>
      <c r="G2156" s="604">
        <f>VLOOKUP(D2153,'ENSAIOS DE ORÇAMENTO'!$C$3:$L$79,6,FALSE)</f>
        <v>1.8781200000000002</v>
      </c>
      <c r="H2156" s="605">
        <f>IF(F2156=0,0,IF(F2156&lt;=30,(0.7*F2156+1.45)*G2156,((0.7*30+1.45)+0.58*(F2156-30))*G2156))</f>
        <v>29.016954000000002</v>
      </c>
      <c r="I2156" s="675"/>
      <c r="J2156" s="675"/>
      <c r="K2156" s="606">
        <f t="shared" si="425"/>
        <v>0</v>
      </c>
      <c r="L2156" s="607"/>
      <c r="M2156" s="614"/>
      <c r="N2156" s="614"/>
      <c r="O2156" s="287">
        <f t="shared" si="391"/>
        <v>0</v>
      </c>
      <c r="P2156" s="287">
        <f t="shared" si="392"/>
        <v>0</v>
      </c>
      <c r="Q2156" s="288"/>
      <c r="R2156" s="243" t="str">
        <f>IF(P2153&gt;0,"xy","")</f>
        <v/>
      </c>
      <c r="S2156" s="385" t="str">
        <f t="shared" si="424"/>
        <v/>
      </c>
    </row>
    <row r="2157" spans="2:19" ht="13.5" hidden="1" thickBot="1">
      <c r="B2157" s="609" t="s">
        <v>168</v>
      </c>
      <c r="C2157" s="610"/>
      <c r="D2157" s="611" t="s">
        <v>417</v>
      </c>
      <c r="E2157" s="602"/>
      <c r="F2157" s="603">
        <v>30</v>
      </c>
      <c r="G2157" s="604">
        <f>VLOOKUP(D2153,'ENSAIOS DE ORÇAMENTO'!$C$3:$L$79,3,FALSE)</f>
        <v>0</v>
      </c>
      <c r="H2157" s="605">
        <f>IF(F2157=0,0,IF(F2157&lt;=30,(0.7*F2157+1.45)*G2157,((0.7*30+1.45)+0.58*(F2157-30))*G2157))</f>
        <v>0</v>
      </c>
      <c r="I2157" s="675"/>
      <c r="J2157" s="675"/>
      <c r="K2157" s="606">
        <f t="shared" si="425"/>
        <v>0</v>
      </c>
      <c r="L2157" s="607"/>
      <c r="M2157" s="614"/>
      <c r="N2157" s="614"/>
      <c r="O2157" s="287">
        <f t="shared" si="391"/>
        <v>0</v>
      </c>
      <c r="P2157" s="287">
        <f t="shared" si="392"/>
        <v>0</v>
      </c>
      <c r="Q2157" s="288"/>
      <c r="R2157" s="315" t="str">
        <f>IF(P2153&gt;0,"xy","")</f>
        <v/>
      </c>
      <c r="S2157" s="385" t="str">
        <f t="shared" si="424"/>
        <v/>
      </c>
    </row>
    <row r="2158" spans="2:19" ht="13.5" hidden="1" thickBot="1">
      <c r="B2158" s="609" t="s">
        <v>168</v>
      </c>
      <c r="C2158" s="610"/>
      <c r="D2158" s="611" t="s">
        <v>418</v>
      </c>
      <c r="E2158" s="602"/>
      <c r="F2158" s="603">
        <v>500</v>
      </c>
      <c r="G2158" s="604">
        <f>VLOOKUP(D2153,'ENSAIOS DE ORÇAMENTO'!$C$3:$L$79,10,FALSE)</f>
        <v>0</v>
      </c>
      <c r="H2158" s="605">
        <f>IF(F2158=0,0,IF(F2158&lt;=30,(0.7*F2158+1.45)*G2158,((0.7*30+1.45)+0.58*(F2158-30))*G2158))</f>
        <v>0</v>
      </c>
      <c r="I2158" s="675"/>
      <c r="J2158" s="675"/>
      <c r="K2158" s="606">
        <f t="shared" si="425"/>
        <v>0</v>
      </c>
      <c r="L2158" s="607"/>
      <c r="M2158" s="614"/>
      <c r="N2158" s="614"/>
      <c r="O2158" s="287">
        <f t="shared" si="391"/>
        <v>0</v>
      </c>
      <c r="P2158" s="287">
        <f t="shared" si="392"/>
        <v>0</v>
      </c>
      <c r="Q2158" s="288"/>
      <c r="R2158" s="315" t="str">
        <f>IF(P2153&gt;0,"xy","")</f>
        <v/>
      </c>
      <c r="S2158" s="385" t="str">
        <f t="shared" si="424"/>
        <v/>
      </c>
    </row>
    <row r="2159" spans="2:19" ht="13.5" hidden="1" thickBot="1">
      <c r="B2159" s="609" t="s">
        <v>115</v>
      </c>
      <c r="C2159" s="610" t="s">
        <v>212</v>
      </c>
      <c r="D2159" s="611" t="s">
        <v>421</v>
      </c>
      <c r="E2159" s="602"/>
      <c r="F2159" s="603"/>
      <c r="G2159" s="604">
        <f>G2183</f>
        <v>0</v>
      </c>
      <c r="H2159" s="605">
        <f>SUM(H2160:H2164)</f>
        <v>421.1484268000001</v>
      </c>
      <c r="I2159" s="675">
        <f>VLOOKUP(D2159,'ENSAIOS DE ORÇAMENTO'!$C$3:$L$79,8,FALSE)</f>
        <v>1330.1117600000002</v>
      </c>
      <c r="J2159" s="675">
        <f t="shared" ref="J2159" si="432">IF(ISBLANK(I2159),"",SUM(H2159:I2159))</f>
        <v>1751.2601868000004</v>
      </c>
      <c r="K2159" s="606">
        <f t="shared" si="425"/>
        <v>2125.15</v>
      </c>
      <c r="L2159" s="607" t="s">
        <v>21</v>
      </c>
      <c r="M2159" s="30"/>
      <c r="N2159" s="30"/>
      <c r="O2159" s="287">
        <f t="shared" si="391"/>
        <v>0</v>
      </c>
      <c r="P2159" s="287">
        <f t="shared" si="392"/>
        <v>0</v>
      </c>
      <c r="Q2159" s="288"/>
      <c r="S2159" s="385" t="str">
        <f t="shared" si="424"/>
        <v/>
      </c>
    </row>
    <row r="2160" spans="2:19" ht="13.5" hidden="1" thickBot="1">
      <c r="B2160" s="609" t="s">
        <v>168</v>
      </c>
      <c r="C2160" s="610"/>
      <c r="D2160" s="611" t="s">
        <v>218</v>
      </c>
      <c r="E2160" s="602"/>
      <c r="F2160" s="603">
        <v>500</v>
      </c>
      <c r="G2160" s="604">
        <f>VLOOKUP(D2159,'ENSAIOS DE ORÇAMENTO'!$C$3:$L$79,4,FALSE)</f>
        <v>0.71976000000000007</v>
      </c>
      <c r="H2160" s="605">
        <f>IF(F2160&lt;=30,(0.51*F2160+4.28)*G2160,((0.51*30+4.28)+0.42*(F2160-30))*G2160)</f>
        <v>156.17352480000002</v>
      </c>
      <c r="I2160" s="675"/>
      <c r="J2160" s="675"/>
      <c r="K2160" s="606">
        <f t="shared" si="425"/>
        <v>0</v>
      </c>
      <c r="L2160" s="607"/>
      <c r="M2160" s="614"/>
      <c r="N2160" s="614"/>
      <c r="O2160" s="287">
        <f t="shared" si="391"/>
        <v>0</v>
      </c>
      <c r="P2160" s="287">
        <f t="shared" si="392"/>
        <v>0</v>
      </c>
      <c r="Q2160" s="288"/>
      <c r="R2160" s="315" t="str">
        <f>IF(P2159&gt;0,"xy","")</f>
        <v/>
      </c>
      <c r="S2160" s="385" t="str">
        <f t="shared" si="424"/>
        <v/>
      </c>
    </row>
    <row r="2161" spans="2:19" ht="13.5" hidden="1" thickBot="1">
      <c r="B2161" s="609" t="s">
        <v>168</v>
      </c>
      <c r="C2161" s="610"/>
      <c r="D2161" s="611" t="s">
        <v>256</v>
      </c>
      <c r="E2161" s="602"/>
      <c r="F2161" s="603">
        <v>180</v>
      </c>
      <c r="G2161" s="604">
        <f>VLOOKUP(D2159,'ENSAIOS DE ORÇAMENTO'!$C$3:$L$79,5,FALSE)</f>
        <v>2.0712400000000004</v>
      </c>
      <c r="H2161" s="605">
        <f>IF(F2161=0,0,IF(F2161&lt;=30,(0.7*F2161+1.45)*G2161,((0.7*30+1.45)+0.58*(F2161-30))*G2161))</f>
        <v>226.69721800000005</v>
      </c>
      <c r="I2161" s="675"/>
      <c r="J2161" s="675"/>
      <c r="K2161" s="606">
        <f t="shared" si="425"/>
        <v>0</v>
      </c>
      <c r="L2161" s="607"/>
      <c r="M2161" s="614"/>
      <c r="N2161" s="614"/>
      <c r="O2161" s="287">
        <f t="shared" si="391"/>
        <v>0</v>
      </c>
      <c r="P2161" s="287">
        <f t="shared" si="392"/>
        <v>0</v>
      </c>
      <c r="Q2161" s="288"/>
      <c r="R2161" s="315" t="str">
        <f>IF(P2159&gt;0,"xy","")</f>
        <v/>
      </c>
      <c r="S2161" s="385" t="str">
        <f t="shared" si="424"/>
        <v/>
      </c>
    </row>
    <row r="2162" spans="2:19" ht="13.5" hidden="1" thickBot="1">
      <c r="B2162" s="609" t="s">
        <v>168</v>
      </c>
      <c r="C2162" s="610"/>
      <c r="D2162" s="611" t="s">
        <v>260</v>
      </c>
      <c r="E2162" s="602"/>
      <c r="F2162" s="603">
        <v>20</v>
      </c>
      <c r="G2162" s="604">
        <f>VLOOKUP(D2159,'ENSAIOS DE ORÇAMENTO'!$C$3:$L$79,6,FALSE)</f>
        <v>2.4775200000000002</v>
      </c>
      <c r="H2162" s="605">
        <f>IF(F2162=0,0,IF(F2162&lt;=30,(0.7*F2162+1.45)*G2162,((0.7*30+1.45)+0.58*(F2162-30))*G2162))</f>
        <v>38.277684000000001</v>
      </c>
      <c r="I2162" s="675"/>
      <c r="J2162" s="675"/>
      <c r="K2162" s="606">
        <f t="shared" si="425"/>
        <v>0</v>
      </c>
      <c r="L2162" s="607"/>
      <c r="M2162" s="614"/>
      <c r="N2162" s="614"/>
      <c r="O2162" s="287">
        <f t="shared" si="391"/>
        <v>0</v>
      </c>
      <c r="P2162" s="287">
        <f t="shared" si="392"/>
        <v>0</v>
      </c>
      <c r="Q2162" s="288"/>
      <c r="R2162" s="243" t="str">
        <f>IF(P2159&gt;0,"xy","")</f>
        <v/>
      </c>
      <c r="S2162" s="385" t="str">
        <f t="shared" si="424"/>
        <v/>
      </c>
    </row>
    <row r="2163" spans="2:19" ht="13.5" hidden="1" thickBot="1">
      <c r="B2163" s="609" t="s">
        <v>168</v>
      </c>
      <c r="C2163" s="610"/>
      <c r="D2163" s="611" t="s">
        <v>417</v>
      </c>
      <c r="E2163" s="602"/>
      <c r="F2163" s="603">
        <v>30</v>
      </c>
      <c r="G2163" s="604">
        <f>VLOOKUP(D2159,'ENSAIOS DE ORÇAMENTO'!$C$3:$L$79,3,FALSE)</f>
        <v>0</v>
      </c>
      <c r="H2163" s="605">
        <f>IF(F2163=0,0,IF(F2163&lt;=30,(0.7*F2163+1.45)*G2163,((0.7*30+1.45)+0.58*(F2163-30))*G2163))</f>
        <v>0</v>
      </c>
      <c r="I2163" s="675"/>
      <c r="J2163" s="675"/>
      <c r="K2163" s="606">
        <f t="shared" si="425"/>
        <v>0</v>
      </c>
      <c r="L2163" s="607"/>
      <c r="M2163" s="614"/>
      <c r="N2163" s="614"/>
      <c r="O2163" s="287">
        <f t="shared" si="391"/>
        <v>0</v>
      </c>
      <c r="P2163" s="287">
        <f t="shared" si="392"/>
        <v>0</v>
      </c>
      <c r="Q2163" s="288"/>
      <c r="R2163" s="315" t="str">
        <f>IF(P2159&gt;0,"xy","")</f>
        <v/>
      </c>
      <c r="S2163" s="385" t="str">
        <f t="shared" si="424"/>
        <v/>
      </c>
    </row>
    <row r="2164" spans="2:19" ht="13.5" hidden="1" thickBot="1">
      <c r="B2164" s="609" t="s">
        <v>168</v>
      </c>
      <c r="C2164" s="610"/>
      <c r="D2164" s="611" t="s">
        <v>418</v>
      </c>
      <c r="E2164" s="602"/>
      <c r="F2164" s="603">
        <v>500</v>
      </c>
      <c r="G2164" s="604">
        <f>VLOOKUP(D2159,'ENSAIOS DE ORÇAMENTO'!$C$3:$L$79,10,FALSE)</f>
        <v>0</v>
      </c>
      <c r="H2164" s="605">
        <f>IF(F2164=0,0,IF(F2164&lt;=30,(0.7*F2164+1.45)*G2164,((0.7*30+1.45)+0.58*(F2164-30))*G2164))</f>
        <v>0</v>
      </c>
      <c r="I2164" s="675"/>
      <c r="J2164" s="675"/>
      <c r="K2164" s="606">
        <f t="shared" si="425"/>
        <v>0</v>
      </c>
      <c r="L2164" s="607"/>
      <c r="M2164" s="614"/>
      <c r="N2164" s="614"/>
      <c r="O2164" s="287">
        <f t="shared" si="391"/>
        <v>0</v>
      </c>
      <c r="P2164" s="287">
        <f t="shared" si="392"/>
        <v>0</v>
      </c>
      <c r="Q2164" s="288"/>
      <c r="R2164" s="315" t="str">
        <f>IF(P2159&gt;0,"xy","")</f>
        <v/>
      </c>
      <c r="S2164" s="385" t="str">
        <f t="shared" si="424"/>
        <v/>
      </c>
    </row>
    <row r="2165" spans="2:19" ht="13.5" hidden="1" thickBot="1">
      <c r="B2165" s="609" t="s">
        <v>116</v>
      </c>
      <c r="C2165" s="610" t="s">
        <v>212</v>
      </c>
      <c r="D2165" s="611" t="s">
        <v>422</v>
      </c>
      <c r="E2165" s="602"/>
      <c r="F2165" s="603"/>
      <c r="G2165" s="604">
        <f>G2189</f>
        <v>0</v>
      </c>
      <c r="H2165" s="605">
        <f>SUM(H2166:H2170)</f>
        <v>525.40441930000009</v>
      </c>
      <c r="I2165" s="675">
        <f>VLOOKUP(D2165,'ENSAIOS DE ORÇAMENTO'!$C$3:$L$79,8,FALSE)</f>
        <v>1604.0366599999998</v>
      </c>
      <c r="J2165" s="675">
        <f t="shared" ref="J2165" si="433">IF(ISBLANK(I2165),"",SUM(H2165:I2165))</f>
        <v>2129.4410792999997</v>
      </c>
      <c r="K2165" s="606">
        <f t="shared" si="425"/>
        <v>2584.08</v>
      </c>
      <c r="L2165" s="607" t="s">
        <v>21</v>
      </c>
      <c r="M2165" s="30"/>
      <c r="N2165" s="30"/>
      <c r="O2165" s="287">
        <f t="shared" si="391"/>
        <v>0</v>
      </c>
      <c r="P2165" s="287">
        <f t="shared" si="392"/>
        <v>0</v>
      </c>
      <c r="Q2165" s="288"/>
      <c r="S2165" s="385" t="str">
        <f t="shared" si="424"/>
        <v/>
      </c>
    </row>
    <row r="2166" spans="2:19" ht="13.5" hidden="1" thickBot="1">
      <c r="B2166" s="609" t="s">
        <v>168</v>
      </c>
      <c r="C2166" s="610"/>
      <c r="D2166" s="611" t="s">
        <v>218</v>
      </c>
      <c r="E2166" s="602"/>
      <c r="F2166" s="603">
        <v>500</v>
      </c>
      <c r="G2166" s="604">
        <f>VLOOKUP(D2165,'ENSAIOS DE ORÇAMENTO'!$C$3:$L$79,4,FALSE)</f>
        <v>0.90125999999999995</v>
      </c>
      <c r="H2166" s="605">
        <f>IF(F2166&lt;=30,(0.51*F2166+4.28)*G2166,((0.51*30+4.28)+0.42*(F2166-30))*G2166)</f>
        <v>195.55539480000002</v>
      </c>
      <c r="I2166" s="675"/>
      <c r="J2166" s="675"/>
      <c r="K2166" s="606">
        <f t="shared" si="425"/>
        <v>0</v>
      </c>
      <c r="L2166" s="607"/>
      <c r="M2166" s="614"/>
      <c r="N2166" s="614"/>
      <c r="O2166" s="287">
        <f t="shared" si="391"/>
        <v>0</v>
      </c>
      <c r="P2166" s="287">
        <f t="shared" si="392"/>
        <v>0</v>
      </c>
      <c r="Q2166" s="288"/>
      <c r="R2166" s="315" t="str">
        <f>IF(P2165&gt;0,"xy","")</f>
        <v/>
      </c>
      <c r="S2166" s="385" t="str">
        <f t="shared" si="424"/>
        <v/>
      </c>
    </row>
    <row r="2167" spans="2:19" ht="13.5" hidden="1" thickBot="1">
      <c r="B2167" s="609" t="s">
        <v>168</v>
      </c>
      <c r="C2167" s="610"/>
      <c r="D2167" s="611" t="s">
        <v>256</v>
      </c>
      <c r="E2167" s="602"/>
      <c r="F2167" s="603">
        <v>180</v>
      </c>
      <c r="G2167" s="604">
        <f>VLOOKUP(D2165,'ENSAIOS DE ORÇAMENTO'!$C$3:$L$79,5,FALSE)</f>
        <v>2.5777900000000002</v>
      </c>
      <c r="H2167" s="605">
        <f>IF(F2167=0,0,IF(F2167&lt;=30,(0.7*F2167+1.45)*G2167,((0.7*30+1.45)+0.58*(F2167-30))*G2167))</f>
        <v>282.13911550000006</v>
      </c>
      <c r="I2167" s="675"/>
      <c r="J2167" s="675"/>
      <c r="K2167" s="606">
        <f t="shared" si="425"/>
        <v>0</v>
      </c>
      <c r="L2167" s="607"/>
      <c r="M2167" s="614"/>
      <c r="N2167" s="614"/>
      <c r="O2167" s="287">
        <f t="shared" si="391"/>
        <v>0</v>
      </c>
      <c r="P2167" s="287">
        <f t="shared" si="392"/>
        <v>0</v>
      </c>
      <c r="Q2167" s="288"/>
      <c r="R2167" s="315" t="str">
        <f>IF(P2165&gt;0,"xy","")</f>
        <v/>
      </c>
      <c r="S2167" s="385" t="str">
        <f t="shared" si="424"/>
        <v/>
      </c>
    </row>
    <row r="2168" spans="2:19" ht="13.5" hidden="1" thickBot="1">
      <c r="B2168" s="609" t="s">
        <v>168</v>
      </c>
      <c r="C2168" s="610"/>
      <c r="D2168" s="611" t="s">
        <v>260</v>
      </c>
      <c r="E2168" s="602"/>
      <c r="F2168" s="603">
        <v>20</v>
      </c>
      <c r="G2168" s="604">
        <f>VLOOKUP(D2165,'ENSAIOS DE ORÇAMENTO'!$C$3:$L$79,6,FALSE)</f>
        <v>3.0880200000000002</v>
      </c>
      <c r="H2168" s="605">
        <f>IF(F2168=0,0,IF(F2168&lt;=30,(0.7*F2168+1.45)*G2168,((0.7*30+1.45)+0.58*(F2168-30))*G2168))</f>
        <v>47.709909000000003</v>
      </c>
      <c r="I2168" s="675"/>
      <c r="J2168" s="675"/>
      <c r="K2168" s="606">
        <f t="shared" si="425"/>
        <v>0</v>
      </c>
      <c r="L2168" s="607"/>
      <c r="M2168" s="614"/>
      <c r="N2168" s="614"/>
      <c r="O2168" s="287">
        <f t="shared" si="391"/>
        <v>0</v>
      </c>
      <c r="P2168" s="287">
        <f t="shared" si="392"/>
        <v>0</v>
      </c>
      <c r="Q2168" s="288"/>
      <c r="R2168" s="243" t="str">
        <f>IF(P2165&gt;0,"xy","")</f>
        <v/>
      </c>
      <c r="S2168" s="385" t="str">
        <f t="shared" si="424"/>
        <v/>
      </c>
    </row>
    <row r="2169" spans="2:19" ht="13.5" hidden="1" thickBot="1">
      <c r="B2169" s="609" t="s">
        <v>168</v>
      </c>
      <c r="C2169" s="610"/>
      <c r="D2169" s="611" t="s">
        <v>417</v>
      </c>
      <c r="E2169" s="602"/>
      <c r="F2169" s="603">
        <v>30</v>
      </c>
      <c r="G2169" s="604">
        <f>VLOOKUP(D2165,'ENSAIOS DE ORÇAMENTO'!$C$3:$L$79,3,FALSE)</f>
        <v>0</v>
      </c>
      <c r="H2169" s="605">
        <f>IF(F2169=0,0,IF(F2169&lt;=30,(0.7*F2169+1.45)*G2169,((0.7*30+1.45)+0.58*(F2169-30))*G2169))</f>
        <v>0</v>
      </c>
      <c r="I2169" s="675"/>
      <c r="J2169" s="675"/>
      <c r="K2169" s="606">
        <f t="shared" si="425"/>
        <v>0</v>
      </c>
      <c r="L2169" s="607"/>
      <c r="M2169" s="614"/>
      <c r="N2169" s="614"/>
      <c r="O2169" s="287">
        <f t="shared" si="391"/>
        <v>0</v>
      </c>
      <c r="P2169" s="287">
        <f t="shared" si="392"/>
        <v>0</v>
      </c>
      <c r="Q2169" s="288"/>
      <c r="R2169" s="315" t="str">
        <f>IF(P2165&gt;0,"xy","")</f>
        <v/>
      </c>
      <c r="S2169" s="385" t="str">
        <f t="shared" si="424"/>
        <v/>
      </c>
    </row>
    <row r="2170" spans="2:19" ht="13.5" hidden="1" thickBot="1">
      <c r="B2170" s="609" t="s">
        <v>168</v>
      </c>
      <c r="C2170" s="610"/>
      <c r="D2170" s="611" t="s">
        <v>418</v>
      </c>
      <c r="E2170" s="602"/>
      <c r="F2170" s="603">
        <v>500</v>
      </c>
      <c r="G2170" s="604">
        <f>VLOOKUP(D2165,'ENSAIOS DE ORÇAMENTO'!$C$3:$L$79,10,FALSE)</f>
        <v>0</v>
      </c>
      <c r="H2170" s="605">
        <f>IF(F2170=0,0,IF(F2170&lt;=30,(0.7*F2170+1.45)*G2170,((0.7*30+1.45)+0.58*(F2170-30))*G2170))</f>
        <v>0</v>
      </c>
      <c r="I2170" s="675"/>
      <c r="J2170" s="675"/>
      <c r="K2170" s="606">
        <f t="shared" si="425"/>
        <v>0</v>
      </c>
      <c r="L2170" s="607"/>
      <c r="M2170" s="614"/>
      <c r="N2170" s="614"/>
      <c r="O2170" s="287">
        <f t="shared" si="391"/>
        <v>0</v>
      </c>
      <c r="P2170" s="287">
        <f t="shared" si="392"/>
        <v>0</v>
      </c>
      <c r="Q2170" s="288"/>
      <c r="R2170" s="315" t="str">
        <f>IF(P2165&gt;0,"xy","")</f>
        <v/>
      </c>
      <c r="S2170" s="385" t="str">
        <f t="shared" si="424"/>
        <v/>
      </c>
    </row>
    <row r="2171" spans="2:19" ht="13.5" hidden="1" thickBot="1">
      <c r="B2171" s="609" t="s">
        <v>28</v>
      </c>
      <c r="C2171" s="610" t="s">
        <v>212</v>
      </c>
      <c r="D2171" s="611" t="s">
        <v>108</v>
      </c>
      <c r="E2171" s="602"/>
      <c r="F2171" s="603"/>
      <c r="G2171" s="604"/>
      <c r="H2171" s="605">
        <f>SUM(H2172:H2176)</f>
        <v>121.48272890000001</v>
      </c>
      <c r="I2171" s="675">
        <f>VLOOKUP(D2171,'ENSAIOS DE ORÇAMENTO'!$C$3:$L$79,8,FALSE)</f>
        <v>1723.0975800000001</v>
      </c>
      <c r="J2171" s="675">
        <f t="shared" ref="J2171" si="434">IF(ISBLANK(I2171),"",SUM(H2171:I2171))</f>
        <v>1844.5803089000001</v>
      </c>
      <c r="K2171" s="606">
        <f t="shared" si="425"/>
        <v>2238.4</v>
      </c>
      <c r="L2171" s="607" t="s">
        <v>21</v>
      </c>
      <c r="M2171" s="30"/>
      <c r="N2171" s="30"/>
      <c r="O2171" s="287">
        <f t="shared" si="391"/>
        <v>0</v>
      </c>
      <c r="P2171" s="287">
        <f t="shared" si="392"/>
        <v>0</v>
      </c>
      <c r="Q2171" s="288"/>
      <c r="S2171" s="385" t="str">
        <f t="shared" si="424"/>
        <v/>
      </c>
    </row>
    <row r="2172" spans="2:19" ht="13.5" hidden="1" thickBot="1">
      <c r="B2172" s="609" t="s">
        <v>168</v>
      </c>
      <c r="C2172" s="610"/>
      <c r="D2172" s="611" t="s">
        <v>218</v>
      </c>
      <c r="E2172" s="602"/>
      <c r="F2172" s="603">
        <v>500</v>
      </c>
      <c r="G2172" s="604">
        <f>VLOOKUP(D2171,'ENSAIOS DE ORÇAMENTO'!$C$3:$L$79,4,FALSE)</f>
        <v>0.20478000000000002</v>
      </c>
      <c r="H2172" s="605">
        <f>IF(F2172&lt;=30,(0.51*F2172+4.28)*G2172,((0.51*30+4.28)+0.42*(F2172-30))*G2172)</f>
        <v>44.43316440000001</v>
      </c>
      <c r="I2172" s="675"/>
      <c r="J2172" s="675"/>
      <c r="K2172" s="606">
        <f t="shared" si="425"/>
        <v>0</v>
      </c>
      <c r="L2172" s="607"/>
      <c r="M2172" s="614"/>
      <c r="N2172" s="614"/>
      <c r="O2172" s="287">
        <f t="shared" si="391"/>
        <v>0</v>
      </c>
      <c r="P2172" s="287">
        <f t="shared" si="392"/>
        <v>0</v>
      </c>
      <c r="Q2172" s="288"/>
      <c r="R2172" s="315" t="str">
        <f>IF(P2171&gt;0,"xy","")</f>
        <v/>
      </c>
      <c r="S2172" s="385" t="str">
        <f t="shared" si="424"/>
        <v/>
      </c>
    </row>
    <row r="2173" spans="2:19" ht="13.5" hidden="1" thickBot="1">
      <c r="B2173" s="609" t="s">
        <v>168</v>
      </c>
      <c r="C2173" s="610"/>
      <c r="D2173" s="611" t="s">
        <v>256</v>
      </c>
      <c r="E2173" s="602"/>
      <c r="F2173" s="603">
        <v>180</v>
      </c>
      <c r="G2173" s="604">
        <f>VLOOKUP(D2171,'ENSAIOS DE ORÇAMENTO'!$C$3:$L$79,5,FALSE)</f>
        <v>0.60275000000000001</v>
      </c>
      <c r="H2173" s="605">
        <f>IF(F2173=0,0,IF(F2173&lt;=30,(0.7*F2173+1.45)*G2173,((0.7*30+1.45)+0.58*(F2173-30))*G2173))</f>
        <v>65.970987500000007</v>
      </c>
      <c r="I2173" s="675"/>
      <c r="J2173" s="675"/>
      <c r="K2173" s="606">
        <f t="shared" si="425"/>
        <v>0</v>
      </c>
      <c r="L2173" s="607"/>
      <c r="M2173" s="614"/>
      <c r="N2173" s="614"/>
      <c r="O2173" s="287">
        <f t="shared" si="391"/>
        <v>0</v>
      </c>
      <c r="P2173" s="287">
        <f t="shared" si="392"/>
        <v>0</v>
      </c>
      <c r="Q2173" s="288"/>
      <c r="R2173" s="315" t="str">
        <f>IF(P2171&gt;0,"xy","")</f>
        <v/>
      </c>
      <c r="S2173" s="385" t="str">
        <f t="shared" si="424"/>
        <v/>
      </c>
    </row>
    <row r="2174" spans="2:19" ht="13.5" hidden="1" thickBot="1">
      <c r="B2174" s="609" t="s">
        <v>168</v>
      </c>
      <c r="C2174" s="610"/>
      <c r="D2174" s="611" t="s">
        <v>260</v>
      </c>
      <c r="E2174" s="602"/>
      <c r="F2174" s="603">
        <v>20</v>
      </c>
      <c r="G2174" s="604">
        <f>VLOOKUP(D2171,'ENSAIOS DE ORÇAMENTO'!$C$3:$L$79,6,FALSE)</f>
        <v>0.71706000000000003</v>
      </c>
      <c r="H2174" s="605">
        <f>IF(F2174=0,0,IF(F2174&lt;=30,(0.7*F2174+1.45)*G2174,((0.7*30+1.45)+0.58*(F2174-30))*G2174))</f>
        <v>11.078576999999999</v>
      </c>
      <c r="I2174" s="675"/>
      <c r="J2174" s="675"/>
      <c r="K2174" s="606">
        <f t="shared" si="425"/>
        <v>0</v>
      </c>
      <c r="L2174" s="607"/>
      <c r="M2174" s="614"/>
      <c r="N2174" s="614"/>
      <c r="O2174" s="287">
        <f t="shared" si="391"/>
        <v>0</v>
      </c>
      <c r="P2174" s="287">
        <f t="shared" si="392"/>
        <v>0</v>
      </c>
      <c r="Q2174" s="288"/>
      <c r="R2174" s="243" t="str">
        <f>IF(P2171&gt;0,"xy","")</f>
        <v/>
      </c>
      <c r="S2174" s="385" t="str">
        <f t="shared" si="424"/>
        <v/>
      </c>
    </row>
    <row r="2175" spans="2:19" ht="13.5" hidden="1" thickBot="1">
      <c r="B2175" s="609" t="s">
        <v>168</v>
      </c>
      <c r="C2175" s="610"/>
      <c r="D2175" s="611" t="s">
        <v>417</v>
      </c>
      <c r="E2175" s="602"/>
      <c r="F2175" s="603">
        <v>30</v>
      </c>
      <c r="G2175" s="604">
        <f>VLOOKUP(D2171,'ENSAIOS DE ORÇAMENTO'!$C$3:$L$79,3,FALSE)</f>
        <v>0</v>
      </c>
      <c r="H2175" s="605">
        <f>IF(F2175=0,0,IF(F2175&lt;=30,(0.7*F2175+1.45)*G2175,((0.7*30+1.45)+0.58*(F2175-30))*G2175))</f>
        <v>0</v>
      </c>
      <c r="I2175" s="675"/>
      <c r="J2175" s="675"/>
      <c r="K2175" s="606">
        <f t="shared" si="425"/>
        <v>0</v>
      </c>
      <c r="L2175" s="607"/>
      <c r="M2175" s="614"/>
      <c r="N2175" s="614"/>
      <c r="O2175" s="287">
        <f t="shared" si="391"/>
        <v>0</v>
      </c>
      <c r="P2175" s="287">
        <f t="shared" si="392"/>
        <v>0</v>
      </c>
      <c r="Q2175" s="288"/>
      <c r="R2175" s="315" t="str">
        <f>IF(P2171&gt;0,"xy","")</f>
        <v/>
      </c>
      <c r="S2175" s="385" t="str">
        <f t="shared" si="424"/>
        <v/>
      </c>
    </row>
    <row r="2176" spans="2:19" ht="13.5" hidden="1" thickBot="1">
      <c r="B2176" s="609" t="s">
        <v>168</v>
      </c>
      <c r="C2176" s="610"/>
      <c r="D2176" s="611" t="s">
        <v>418</v>
      </c>
      <c r="E2176" s="602"/>
      <c r="F2176" s="603">
        <v>500</v>
      </c>
      <c r="G2176" s="604">
        <f>VLOOKUP(D2171,'ENSAIOS DE ORÇAMENTO'!$C$3:$L$79,10,FALSE)</f>
        <v>0</v>
      </c>
      <c r="H2176" s="605">
        <f>IF(F2176=0,0,IF(F2176&lt;=30,(0.7*F2176+1.45)*G2176,((0.7*30+1.45)+0.58*(F2176-30))*G2176))</f>
        <v>0</v>
      </c>
      <c r="I2176" s="675"/>
      <c r="J2176" s="675"/>
      <c r="K2176" s="606">
        <f t="shared" si="425"/>
        <v>0</v>
      </c>
      <c r="L2176" s="607"/>
      <c r="M2176" s="614"/>
      <c r="N2176" s="614"/>
      <c r="O2176" s="287">
        <f t="shared" si="391"/>
        <v>0</v>
      </c>
      <c r="P2176" s="287">
        <f t="shared" si="392"/>
        <v>0</v>
      </c>
      <c r="Q2176" s="288"/>
      <c r="R2176" s="315" t="str">
        <f>IF(P2171&gt;0,"xy","")</f>
        <v/>
      </c>
      <c r="S2176" s="385" t="str">
        <f t="shared" si="424"/>
        <v/>
      </c>
    </row>
    <row r="2177" spans="2:19" ht="13.5" hidden="1" thickBot="1">
      <c r="B2177" s="609" t="s">
        <v>29</v>
      </c>
      <c r="C2177" s="610" t="s">
        <v>212</v>
      </c>
      <c r="D2177" s="611" t="s">
        <v>105</v>
      </c>
      <c r="E2177" s="602"/>
      <c r="F2177" s="603"/>
      <c r="G2177" s="604"/>
      <c r="H2177" s="605">
        <f>SUM(H2178:H2182)</f>
        <v>151.81174489999998</v>
      </c>
      <c r="I2177" s="675">
        <f>VLOOKUP(D2177,'ENSAIOS DE ORÇAMENTO'!$C$3:$L$79,8,FALSE)</f>
        <v>2109.5135799999998</v>
      </c>
      <c r="J2177" s="675">
        <f t="shared" ref="J2177" si="435">IF(ISBLANK(I2177),"",SUM(H2177:I2177))</f>
        <v>2261.3253248999999</v>
      </c>
      <c r="K2177" s="606">
        <f t="shared" si="425"/>
        <v>2744.12</v>
      </c>
      <c r="L2177" s="607" t="s">
        <v>21</v>
      </c>
      <c r="M2177" s="30"/>
      <c r="N2177" s="30"/>
      <c r="O2177" s="287">
        <f t="shared" si="391"/>
        <v>0</v>
      </c>
      <c r="P2177" s="287">
        <f t="shared" si="392"/>
        <v>0</v>
      </c>
      <c r="Q2177" s="288"/>
      <c r="S2177" s="385" t="str">
        <f t="shared" si="424"/>
        <v/>
      </c>
    </row>
    <row r="2178" spans="2:19" ht="13.5" hidden="1" thickBot="1">
      <c r="B2178" s="609" t="s">
        <v>168</v>
      </c>
      <c r="C2178" s="610"/>
      <c r="D2178" s="611" t="s">
        <v>218</v>
      </c>
      <c r="E2178" s="602"/>
      <c r="F2178" s="603">
        <v>500</v>
      </c>
      <c r="G2178" s="604">
        <f>VLOOKUP(D2177,'ENSAIOS DE ORÇAMENTO'!$C$3:$L$79,4,FALSE)</f>
        <v>0.25757999999999998</v>
      </c>
      <c r="H2178" s="605">
        <f>IF(F2178&lt;=30,(0.51*F2178+4.28)*G2178,((0.51*30+4.28)+0.42*(F2178-30))*G2178)</f>
        <v>55.889708399999996</v>
      </c>
      <c r="I2178" s="675"/>
      <c r="J2178" s="675"/>
      <c r="K2178" s="606">
        <f t="shared" si="425"/>
        <v>0</v>
      </c>
      <c r="L2178" s="607"/>
      <c r="M2178" s="614"/>
      <c r="N2178" s="614"/>
      <c r="O2178" s="287">
        <f t="shared" si="391"/>
        <v>0</v>
      </c>
      <c r="P2178" s="287">
        <f t="shared" si="392"/>
        <v>0</v>
      </c>
      <c r="Q2178" s="288"/>
      <c r="R2178" s="315" t="str">
        <f>IF(P2177&gt;0,"xy","")</f>
        <v/>
      </c>
      <c r="S2178" s="385" t="str">
        <f t="shared" si="424"/>
        <v/>
      </c>
    </row>
    <row r="2179" spans="2:19" ht="13.5" hidden="1" thickBot="1">
      <c r="B2179" s="609" t="s">
        <v>168</v>
      </c>
      <c r="C2179" s="610"/>
      <c r="D2179" s="611" t="s">
        <v>256</v>
      </c>
      <c r="E2179" s="602"/>
      <c r="F2179" s="603">
        <v>180</v>
      </c>
      <c r="G2179" s="604">
        <f>VLOOKUP(D2177,'ENSAIOS DE ORÇAMENTO'!$C$3:$L$79,5,FALSE)</f>
        <v>0.75010999999999994</v>
      </c>
      <c r="H2179" s="605">
        <f>IF(F2179=0,0,IF(F2179&lt;=30,(0.7*F2179+1.45)*G2179,((0.7*30+1.45)+0.58*(F2179-30))*G2179))</f>
        <v>82.099539499999992</v>
      </c>
      <c r="I2179" s="675"/>
      <c r="J2179" s="675"/>
      <c r="K2179" s="606">
        <f t="shared" si="425"/>
        <v>0</v>
      </c>
      <c r="L2179" s="607"/>
      <c r="M2179" s="614"/>
      <c r="N2179" s="614"/>
      <c r="O2179" s="287">
        <f t="shared" si="391"/>
        <v>0</v>
      </c>
      <c r="P2179" s="287">
        <f t="shared" si="392"/>
        <v>0</v>
      </c>
      <c r="Q2179" s="288"/>
      <c r="R2179" s="315" t="str">
        <f>IF(P2177&gt;0,"xy","")</f>
        <v/>
      </c>
      <c r="S2179" s="385" t="str">
        <f t="shared" si="424"/>
        <v/>
      </c>
    </row>
    <row r="2180" spans="2:19" ht="13.5" hidden="1" thickBot="1">
      <c r="B2180" s="609" t="s">
        <v>168</v>
      </c>
      <c r="C2180" s="610"/>
      <c r="D2180" s="611" t="s">
        <v>260</v>
      </c>
      <c r="E2180" s="602"/>
      <c r="F2180" s="603">
        <v>20</v>
      </c>
      <c r="G2180" s="604">
        <f>VLOOKUP(D2177,'ENSAIOS DE ORÇAMENTO'!$C$3:$L$79,6,FALSE)</f>
        <v>0.89466000000000001</v>
      </c>
      <c r="H2180" s="605">
        <f>IF(F2180=0,0,IF(F2180&lt;=30,(0.7*F2180+1.45)*G2180,((0.7*30+1.45)+0.58*(F2180-30))*G2180))</f>
        <v>13.822497</v>
      </c>
      <c r="I2180" s="675"/>
      <c r="J2180" s="675"/>
      <c r="K2180" s="606">
        <f t="shared" si="425"/>
        <v>0</v>
      </c>
      <c r="L2180" s="607"/>
      <c r="M2180" s="614"/>
      <c r="N2180" s="614"/>
      <c r="O2180" s="287">
        <f t="shared" si="391"/>
        <v>0</v>
      </c>
      <c r="P2180" s="287">
        <f t="shared" si="392"/>
        <v>0</v>
      </c>
      <c r="Q2180" s="288"/>
      <c r="R2180" s="243" t="str">
        <f>IF(P2177&gt;0,"xy","")</f>
        <v/>
      </c>
      <c r="S2180" s="385" t="str">
        <f t="shared" si="424"/>
        <v/>
      </c>
    </row>
    <row r="2181" spans="2:19" ht="13.5" hidden="1" thickBot="1">
      <c r="B2181" s="609" t="s">
        <v>168</v>
      </c>
      <c r="C2181" s="610"/>
      <c r="D2181" s="611" t="s">
        <v>417</v>
      </c>
      <c r="E2181" s="602"/>
      <c r="F2181" s="603">
        <v>30</v>
      </c>
      <c r="G2181" s="604">
        <f>VLOOKUP(D2177,'ENSAIOS DE ORÇAMENTO'!$C$3:$L$79,3,FALSE)</f>
        <v>0</v>
      </c>
      <c r="H2181" s="605">
        <f>IF(F2181=0,0,IF(F2181&lt;=30,(0.7*F2181+1.45)*G2181,((0.7*30+1.45)+0.58*(F2181-30))*G2181))</f>
        <v>0</v>
      </c>
      <c r="I2181" s="675"/>
      <c r="J2181" s="675"/>
      <c r="K2181" s="606">
        <f t="shared" si="425"/>
        <v>0</v>
      </c>
      <c r="L2181" s="607"/>
      <c r="M2181" s="614"/>
      <c r="N2181" s="614"/>
      <c r="O2181" s="287">
        <f t="shared" si="391"/>
        <v>0</v>
      </c>
      <c r="P2181" s="287">
        <f t="shared" si="392"/>
        <v>0</v>
      </c>
      <c r="Q2181" s="288"/>
      <c r="R2181" s="315" t="str">
        <f>IF(P2177&gt;0,"xy","")</f>
        <v/>
      </c>
      <c r="S2181" s="385" t="str">
        <f t="shared" si="424"/>
        <v/>
      </c>
    </row>
    <row r="2182" spans="2:19" ht="13.5" hidden="1" thickBot="1">
      <c r="B2182" s="609" t="s">
        <v>168</v>
      </c>
      <c r="C2182" s="610"/>
      <c r="D2182" s="611" t="s">
        <v>418</v>
      </c>
      <c r="E2182" s="602"/>
      <c r="F2182" s="603">
        <v>500</v>
      </c>
      <c r="G2182" s="604">
        <f>VLOOKUP(D2177,'ENSAIOS DE ORÇAMENTO'!$C$3:$L$79,10,FALSE)</f>
        <v>0</v>
      </c>
      <c r="H2182" s="605">
        <f>IF(F2182=0,0,IF(F2182&lt;=30,(0.7*F2182+1.45)*G2182,((0.7*30+1.45)+0.58*(F2182-30))*G2182))</f>
        <v>0</v>
      </c>
      <c r="I2182" s="675"/>
      <c r="J2182" s="675"/>
      <c r="K2182" s="606">
        <f t="shared" si="425"/>
        <v>0</v>
      </c>
      <c r="L2182" s="607"/>
      <c r="M2182" s="614"/>
      <c r="N2182" s="614"/>
      <c r="O2182" s="287">
        <f t="shared" si="391"/>
        <v>0</v>
      </c>
      <c r="P2182" s="287">
        <f t="shared" si="392"/>
        <v>0</v>
      </c>
      <c r="Q2182" s="288"/>
      <c r="R2182" s="315" t="str">
        <f>IF(P2177&gt;0,"xy","")</f>
        <v/>
      </c>
      <c r="S2182" s="385" t="str">
        <f t="shared" si="424"/>
        <v/>
      </c>
    </row>
    <row r="2183" spans="2:19" ht="13.5" hidden="1" thickBot="1">
      <c r="B2183" s="609" t="s">
        <v>30</v>
      </c>
      <c r="C2183" s="610" t="s">
        <v>212</v>
      </c>
      <c r="D2183" s="611" t="s">
        <v>106</v>
      </c>
      <c r="E2183" s="602"/>
      <c r="F2183" s="603"/>
      <c r="G2183" s="604"/>
      <c r="H2183" s="605">
        <f>SUM(H2184:H2188)</f>
        <v>201.0963959</v>
      </c>
      <c r="I2183" s="675">
        <f>VLOOKUP(D2183,'ENSAIOS DE ORÇAMENTO'!$C$3:$L$79,8,FALSE)</f>
        <v>2317.3229799999999</v>
      </c>
      <c r="J2183" s="675">
        <f t="shared" ref="J2183" si="436">IF(ISBLANK(I2183),"",SUM(H2183:I2183))</f>
        <v>2518.4193759</v>
      </c>
      <c r="K2183" s="606">
        <f t="shared" si="425"/>
        <v>3056.1</v>
      </c>
      <c r="L2183" s="607" t="s">
        <v>21</v>
      </c>
      <c r="M2183" s="30"/>
      <c r="N2183" s="30"/>
      <c r="O2183" s="287">
        <f t="shared" si="391"/>
        <v>0</v>
      </c>
      <c r="P2183" s="287">
        <f t="shared" si="392"/>
        <v>0</v>
      </c>
      <c r="Q2183" s="288"/>
      <c r="S2183" s="385" t="str">
        <f t="shared" si="424"/>
        <v/>
      </c>
    </row>
    <row r="2184" spans="2:19" ht="13.5" hidden="1" thickBot="1">
      <c r="B2184" s="609" t="s">
        <v>168</v>
      </c>
      <c r="C2184" s="610"/>
      <c r="D2184" s="611" t="s">
        <v>218</v>
      </c>
      <c r="E2184" s="602"/>
      <c r="F2184" s="603">
        <v>500</v>
      </c>
      <c r="G2184" s="604">
        <f>VLOOKUP(D2183,'ENSAIOS DE ORÇAMENTO'!$C$3:$L$79,4,FALSE)</f>
        <v>0.34338000000000002</v>
      </c>
      <c r="H2184" s="605">
        <f>IF(F2184&lt;=30,(0.51*F2184+4.28)*G2184,((0.51*30+4.28)+0.42*(F2184-30))*G2184)</f>
        <v>74.506592400000017</v>
      </c>
      <c r="I2184" s="675"/>
      <c r="J2184" s="675"/>
      <c r="K2184" s="606">
        <f t="shared" si="425"/>
        <v>0</v>
      </c>
      <c r="L2184" s="607"/>
      <c r="M2184" s="614"/>
      <c r="N2184" s="614"/>
      <c r="O2184" s="287">
        <f t="shared" si="391"/>
        <v>0</v>
      </c>
      <c r="P2184" s="287">
        <f t="shared" si="392"/>
        <v>0</v>
      </c>
      <c r="Q2184" s="288"/>
      <c r="R2184" s="315" t="str">
        <f>IF(P2183&gt;0,"xy","")</f>
        <v/>
      </c>
      <c r="S2184" s="385" t="str">
        <f t="shared" ref="S2184:S2247" si="437">IF(R2184="x","x",IF(R2184="y","x",IF(R2184="xy","x",IF(P2184&gt;0,"x",""))))</f>
        <v/>
      </c>
    </row>
    <row r="2185" spans="2:19" ht="13.5" hidden="1" thickBot="1">
      <c r="B2185" s="609" t="s">
        <v>168</v>
      </c>
      <c r="C2185" s="610"/>
      <c r="D2185" s="611" t="s">
        <v>256</v>
      </c>
      <c r="E2185" s="602"/>
      <c r="F2185" s="603">
        <v>180</v>
      </c>
      <c r="G2185" s="604">
        <f>VLOOKUP(D2183,'ENSAIOS DE ORÇAMENTO'!$C$3:$L$79,5,FALSE)</f>
        <v>0.98957000000000006</v>
      </c>
      <c r="H2185" s="605">
        <f>IF(F2185=0,0,IF(F2185&lt;=30,(0.7*F2185+1.45)*G2185,((0.7*30+1.45)+0.58*(F2185-30))*G2185))</f>
        <v>108.30843650000001</v>
      </c>
      <c r="I2185" s="675"/>
      <c r="J2185" s="675"/>
      <c r="K2185" s="606">
        <f t="shared" ref="K2185:K2248" si="438">IF(ISBLANK(I2185),0,ROUND(J2185*(1+$F$10)*(1+$F$11*E2185),2))</f>
        <v>0</v>
      </c>
      <c r="L2185" s="607"/>
      <c r="M2185" s="614"/>
      <c r="N2185" s="614"/>
      <c r="O2185" s="287">
        <f t="shared" si="391"/>
        <v>0</v>
      </c>
      <c r="P2185" s="287">
        <f t="shared" si="392"/>
        <v>0</v>
      </c>
      <c r="Q2185" s="288"/>
      <c r="R2185" s="315" t="str">
        <f>IF(P2183&gt;0,"xy","")</f>
        <v/>
      </c>
      <c r="S2185" s="385" t="str">
        <f t="shared" si="437"/>
        <v/>
      </c>
    </row>
    <row r="2186" spans="2:19" ht="13.5" hidden="1" thickBot="1">
      <c r="B2186" s="609" t="s">
        <v>168</v>
      </c>
      <c r="C2186" s="610"/>
      <c r="D2186" s="611" t="s">
        <v>260</v>
      </c>
      <c r="E2186" s="602"/>
      <c r="F2186" s="603">
        <v>20</v>
      </c>
      <c r="G2186" s="604">
        <f>VLOOKUP(D2183,'ENSAIOS DE ORÇAMENTO'!$C$3:$L$79,6,FALSE)</f>
        <v>1.1832600000000002</v>
      </c>
      <c r="H2186" s="605">
        <f>IF(F2186=0,0,IF(F2186&lt;=30,(0.7*F2186+1.45)*G2186,((0.7*30+1.45)+0.58*(F2186-30))*G2186))</f>
        <v>18.281367000000003</v>
      </c>
      <c r="I2186" s="675"/>
      <c r="J2186" s="675"/>
      <c r="K2186" s="606">
        <f t="shared" si="438"/>
        <v>0</v>
      </c>
      <c r="L2186" s="607"/>
      <c r="M2186" s="614"/>
      <c r="N2186" s="614"/>
      <c r="O2186" s="287">
        <f t="shared" si="391"/>
        <v>0</v>
      </c>
      <c r="P2186" s="287">
        <f t="shared" si="392"/>
        <v>0</v>
      </c>
      <c r="Q2186" s="288"/>
      <c r="R2186" s="243" t="str">
        <f>IF(P2183&gt;0,"xy","")</f>
        <v/>
      </c>
      <c r="S2186" s="385" t="str">
        <f t="shared" si="437"/>
        <v/>
      </c>
    </row>
    <row r="2187" spans="2:19" ht="13.5" hidden="1" thickBot="1">
      <c r="B2187" s="609" t="s">
        <v>168</v>
      </c>
      <c r="C2187" s="610"/>
      <c r="D2187" s="611" t="s">
        <v>417</v>
      </c>
      <c r="E2187" s="602"/>
      <c r="F2187" s="603">
        <v>30</v>
      </c>
      <c r="G2187" s="604">
        <f>VLOOKUP(D2183,'ENSAIOS DE ORÇAMENTO'!$C$3:$L$79,3,FALSE)</f>
        <v>0</v>
      </c>
      <c r="H2187" s="605">
        <f>IF(F2187=0,0,IF(F2187&lt;=30,(0.7*F2187+1.45)*G2187,((0.7*30+1.45)+0.58*(F2187-30))*G2187))</f>
        <v>0</v>
      </c>
      <c r="I2187" s="675"/>
      <c r="J2187" s="675"/>
      <c r="K2187" s="606">
        <f t="shared" si="438"/>
        <v>0</v>
      </c>
      <c r="L2187" s="607"/>
      <c r="M2187" s="614"/>
      <c r="N2187" s="614"/>
      <c r="O2187" s="287">
        <f t="shared" si="391"/>
        <v>0</v>
      </c>
      <c r="P2187" s="287">
        <f t="shared" si="392"/>
        <v>0</v>
      </c>
      <c r="Q2187" s="288"/>
      <c r="R2187" s="315" t="str">
        <f>IF(P2183&gt;0,"xy","")</f>
        <v/>
      </c>
      <c r="S2187" s="385" t="str">
        <f t="shared" si="437"/>
        <v/>
      </c>
    </row>
    <row r="2188" spans="2:19" ht="13.5" hidden="1" thickBot="1">
      <c r="B2188" s="609" t="s">
        <v>168</v>
      </c>
      <c r="C2188" s="610"/>
      <c r="D2188" s="611" t="s">
        <v>418</v>
      </c>
      <c r="E2188" s="602"/>
      <c r="F2188" s="603">
        <v>500</v>
      </c>
      <c r="G2188" s="604">
        <f>VLOOKUP(D2183,'ENSAIOS DE ORÇAMENTO'!$C$3:$L$79,10,FALSE)</f>
        <v>0</v>
      </c>
      <c r="H2188" s="605">
        <f>IF(F2188=0,0,IF(F2188&lt;=30,(0.7*F2188+1.45)*G2188,((0.7*30+1.45)+0.58*(F2188-30))*G2188))</f>
        <v>0</v>
      </c>
      <c r="I2188" s="675"/>
      <c r="J2188" s="675"/>
      <c r="K2188" s="606">
        <f t="shared" si="438"/>
        <v>0</v>
      </c>
      <c r="L2188" s="607"/>
      <c r="M2188" s="614"/>
      <c r="N2188" s="614"/>
      <c r="O2188" s="287">
        <f t="shared" si="391"/>
        <v>0</v>
      </c>
      <c r="P2188" s="287">
        <f t="shared" si="392"/>
        <v>0</v>
      </c>
      <c r="Q2188" s="288"/>
      <c r="R2188" s="315" t="str">
        <f>IF(P2183&gt;0,"xy","")</f>
        <v/>
      </c>
      <c r="S2188" s="385" t="str">
        <f t="shared" si="437"/>
        <v/>
      </c>
    </row>
    <row r="2189" spans="2:19" ht="13.5" hidden="1" thickBot="1">
      <c r="B2189" s="609" t="s">
        <v>31</v>
      </c>
      <c r="C2189" s="610" t="s">
        <v>212</v>
      </c>
      <c r="D2189" s="611" t="s">
        <v>107</v>
      </c>
      <c r="E2189" s="602"/>
      <c r="F2189" s="603"/>
      <c r="G2189" s="604"/>
      <c r="H2189" s="605">
        <f>SUM(H2190:H2194)</f>
        <v>250.38104690000003</v>
      </c>
      <c r="I2189" s="675">
        <f>VLOOKUP(D2189,'ENSAIOS DE ORÇAMENTO'!$C$3:$L$79,8,FALSE)</f>
        <v>2847.14338</v>
      </c>
      <c r="J2189" s="675">
        <f t="shared" ref="J2189" si="439">IF(ISBLANK(I2189),"",SUM(H2189:I2189))</f>
        <v>3097.5244269</v>
      </c>
      <c r="K2189" s="606">
        <f t="shared" si="438"/>
        <v>3758.85</v>
      </c>
      <c r="L2189" s="607" t="s">
        <v>21</v>
      </c>
      <c r="M2189" s="30"/>
      <c r="N2189" s="30"/>
      <c r="O2189" s="287">
        <f t="shared" si="391"/>
        <v>0</v>
      </c>
      <c r="P2189" s="287">
        <f t="shared" si="392"/>
        <v>0</v>
      </c>
      <c r="Q2189" s="288"/>
      <c r="S2189" s="385" t="str">
        <f t="shared" si="437"/>
        <v/>
      </c>
    </row>
    <row r="2190" spans="2:19" ht="13.5" hidden="1" thickBot="1">
      <c r="B2190" s="609" t="s">
        <v>168</v>
      </c>
      <c r="C2190" s="610"/>
      <c r="D2190" s="611" t="s">
        <v>218</v>
      </c>
      <c r="E2190" s="602"/>
      <c r="F2190" s="603">
        <v>500</v>
      </c>
      <c r="G2190" s="604">
        <f>VLOOKUP(D2189,'ENSAIOS DE ORÇAMENTO'!$C$3:$L$79,4,FALSE)</f>
        <v>0.42918000000000001</v>
      </c>
      <c r="H2190" s="605">
        <f>IF(F2190&lt;=30,(0.51*F2190+4.28)*G2190,((0.51*30+4.28)+0.42*(F2190-30))*G2190)</f>
        <v>93.123476400000015</v>
      </c>
      <c r="I2190" s="675"/>
      <c r="J2190" s="675"/>
      <c r="K2190" s="606">
        <f t="shared" si="438"/>
        <v>0</v>
      </c>
      <c r="L2190" s="607"/>
      <c r="M2190" s="614"/>
      <c r="N2190" s="614"/>
      <c r="O2190" s="287">
        <f t="shared" si="391"/>
        <v>0</v>
      </c>
      <c r="P2190" s="287">
        <f t="shared" si="392"/>
        <v>0</v>
      </c>
      <c r="Q2190" s="288"/>
      <c r="R2190" s="315" t="str">
        <f>IF(P2189&gt;0,"xy","")</f>
        <v/>
      </c>
      <c r="S2190" s="385" t="str">
        <f t="shared" si="437"/>
        <v/>
      </c>
    </row>
    <row r="2191" spans="2:19" ht="13.5" hidden="1" thickBot="1">
      <c r="B2191" s="609" t="s">
        <v>168</v>
      </c>
      <c r="C2191" s="610"/>
      <c r="D2191" s="611" t="s">
        <v>256</v>
      </c>
      <c r="E2191" s="602"/>
      <c r="F2191" s="603">
        <v>180</v>
      </c>
      <c r="G2191" s="604">
        <f>VLOOKUP(D2189,'ENSAIOS DE ORÇAMENTO'!$C$3:$L$79,5,FALSE)</f>
        <v>1.2290300000000001</v>
      </c>
      <c r="H2191" s="605">
        <f>IF(F2191=0,0,IF(F2191&lt;=30,(0.7*F2191+1.45)*G2191,((0.7*30+1.45)+0.58*(F2191-30))*G2191))</f>
        <v>134.51733350000001</v>
      </c>
      <c r="I2191" s="675"/>
      <c r="J2191" s="675"/>
      <c r="K2191" s="606">
        <f t="shared" si="438"/>
        <v>0</v>
      </c>
      <c r="L2191" s="607"/>
      <c r="M2191" s="614"/>
      <c r="N2191" s="614"/>
      <c r="O2191" s="287">
        <f t="shared" si="391"/>
        <v>0</v>
      </c>
      <c r="P2191" s="287">
        <f t="shared" si="392"/>
        <v>0</v>
      </c>
      <c r="Q2191" s="288"/>
      <c r="R2191" s="315" t="str">
        <f>IF(P2189&gt;0,"xy","")</f>
        <v/>
      </c>
      <c r="S2191" s="385" t="str">
        <f t="shared" si="437"/>
        <v/>
      </c>
    </row>
    <row r="2192" spans="2:19" ht="13.5" hidden="1" thickBot="1">
      <c r="B2192" s="609" t="s">
        <v>168</v>
      </c>
      <c r="C2192" s="610"/>
      <c r="D2192" s="611" t="s">
        <v>260</v>
      </c>
      <c r="E2192" s="602"/>
      <c r="F2192" s="603">
        <v>20</v>
      </c>
      <c r="G2192" s="604">
        <f>VLOOKUP(D2189,'ENSAIOS DE ORÇAMENTO'!$C$3:$L$79,6,FALSE)</f>
        <v>1.4718600000000002</v>
      </c>
      <c r="H2192" s="605">
        <f>IF(F2192=0,0,IF(F2192&lt;=30,(0.7*F2192+1.45)*G2192,((0.7*30+1.45)+0.58*(F2192-30))*G2192))</f>
        <v>22.740237</v>
      </c>
      <c r="I2192" s="675"/>
      <c r="J2192" s="675"/>
      <c r="K2192" s="606">
        <f t="shared" si="438"/>
        <v>0</v>
      </c>
      <c r="L2192" s="607"/>
      <c r="M2192" s="614"/>
      <c r="N2192" s="614"/>
      <c r="O2192" s="287">
        <f t="shared" si="391"/>
        <v>0</v>
      </c>
      <c r="P2192" s="287">
        <f t="shared" si="392"/>
        <v>0</v>
      </c>
      <c r="Q2192" s="288"/>
      <c r="R2192" s="243" t="str">
        <f>IF(P2189&gt;0,"xy","")</f>
        <v/>
      </c>
      <c r="S2192" s="385" t="str">
        <f t="shared" si="437"/>
        <v/>
      </c>
    </row>
    <row r="2193" spans="2:19" ht="13.5" hidden="1" thickBot="1">
      <c r="B2193" s="609" t="s">
        <v>168</v>
      </c>
      <c r="C2193" s="610"/>
      <c r="D2193" s="611" t="s">
        <v>417</v>
      </c>
      <c r="E2193" s="602"/>
      <c r="F2193" s="603">
        <v>30</v>
      </c>
      <c r="G2193" s="604">
        <f>VLOOKUP(D2189,'ENSAIOS DE ORÇAMENTO'!$C$3:$L$79,3,FALSE)</f>
        <v>0</v>
      </c>
      <c r="H2193" s="605">
        <f>IF(F2193=0,0,IF(F2193&lt;=30,(0.7*F2193+1.45)*G2193,((0.7*30+1.45)+0.58*(F2193-30))*G2193))</f>
        <v>0</v>
      </c>
      <c r="I2193" s="675"/>
      <c r="J2193" s="675"/>
      <c r="K2193" s="606">
        <f t="shared" si="438"/>
        <v>0</v>
      </c>
      <c r="L2193" s="607"/>
      <c r="M2193" s="614"/>
      <c r="N2193" s="614"/>
      <c r="O2193" s="287">
        <f t="shared" si="391"/>
        <v>0</v>
      </c>
      <c r="P2193" s="287">
        <f t="shared" si="392"/>
        <v>0</v>
      </c>
      <c r="Q2193" s="288"/>
      <c r="R2193" s="315" t="str">
        <f>IF(P2189&gt;0,"xy","")</f>
        <v/>
      </c>
      <c r="S2193" s="385" t="str">
        <f t="shared" si="437"/>
        <v/>
      </c>
    </row>
    <row r="2194" spans="2:19" ht="13.5" hidden="1" thickBot="1">
      <c r="B2194" s="609" t="s">
        <v>168</v>
      </c>
      <c r="C2194" s="610"/>
      <c r="D2194" s="611" t="s">
        <v>418</v>
      </c>
      <c r="E2194" s="602"/>
      <c r="F2194" s="603">
        <v>500</v>
      </c>
      <c r="G2194" s="604">
        <f>VLOOKUP(D2189,'ENSAIOS DE ORÇAMENTO'!$C$3:$L$79,10,FALSE)</f>
        <v>0</v>
      </c>
      <c r="H2194" s="605">
        <f>IF(F2194=0,0,IF(F2194&lt;=30,(0.7*F2194+1.45)*G2194,((0.7*30+1.45)+0.58*(F2194-30))*G2194))</f>
        <v>0</v>
      </c>
      <c r="I2194" s="675"/>
      <c r="J2194" s="675"/>
      <c r="K2194" s="606">
        <f t="shared" si="438"/>
        <v>0</v>
      </c>
      <c r="L2194" s="607"/>
      <c r="M2194" s="614"/>
      <c r="N2194" s="614"/>
      <c r="O2194" s="287">
        <f t="shared" si="391"/>
        <v>0</v>
      </c>
      <c r="P2194" s="287">
        <f t="shared" si="392"/>
        <v>0</v>
      </c>
      <c r="Q2194" s="288"/>
      <c r="R2194" s="315" t="str">
        <f>IF(P2189&gt;0,"xy","")</f>
        <v/>
      </c>
      <c r="S2194" s="385" t="str">
        <f t="shared" si="437"/>
        <v/>
      </c>
    </row>
    <row r="2195" spans="2:19" ht="13.5" hidden="1" thickBot="1">
      <c r="B2195" s="609" t="s">
        <v>32</v>
      </c>
      <c r="C2195" s="610" t="s">
        <v>212</v>
      </c>
      <c r="D2195" s="611" t="s">
        <v>101</v>
      </c>
      <c r="E2195" s="602"/>
      <c r="F2195" s="603"/>
      <c r="G2195" s="604"/>
      <c r="H2195" s="605">
        <f>SUM(H2196:H2200)</f>
        <v>227.99868417400006</v>
      </c>
      <c r="I2195" s="675">
        <f>VLOOKUP(D2195,'ENSAIOS DE ORÇAMENTO'!$C$3:$L$79,8,FALSE)</f>
        <v>2111.4143779999999</v>
      </c>
      <c r="J2195" s="675">
        <f t="shared" ref="J2195" si="440">IF(ISBLANK(I2195),"",SUM(H2195:I2195))</f>
        <v>2339.4130621740001</v>
      </c>
      <c r="K2195" s="606">
        <f t="shared" si="438"/>
        <v>2838.88</v>
      </c>
      <c r="L2195" s="607" t="s">
        <v>21</v>
      </c>
      <c r="M2195" s="30"/>
      <c r="N2195" s="30"/>
      <c r="O2195" s="287">
        <f t="shared" si="391"/>
        <v>0</v>
      </c>
      <c r="P2195" s="287">
        <f t="shared" si="392"/>
        <v>0</v>
      </c>
      <c r="Q2195" s="288"/>
      <c r="S2195" s="385" t="str">
        <f t="shared" si="437"/>
        <v/>
      </c>
    </row>
    <row r="2196" spans="2:19" ht="13.5" hidden="1" thickBot="1">
      <c r="B2196" s="609" t="s">
        <v>168</v>
      </c>
      <c r="C2196" s="610"/>
      <c r="D2196" s="611" t="s">
        <v>218</v>
      </c>
      <c r="E2196" s="602"/>
      <c r="F2196" s="603">
        <v>500</v>
      </c>
      <c r="G2196" s="604">
        <f>VLOOKUP(D2195,'ENSAIOS DE ORÇAMENTO'!$C$3:$L$79,4,FALSE)</f>
        <v>0.2047668</v>
      </c>
      <c r="H2196" s="605">
        <f>IF(F2196&lt;=30,(0.51*F2196+4.28)*G2196,((0.51*30+4.28)+0.42*(F2196-30))*G2196)</f>
        <v>44.430300264000003</v>
      </c>
      <c r="I2196" s="675"/>
      <c r="J2196" s="675"/>
      <c r="K2196" s="606">
        <f t="shared" si="438"/>
        <v>0</v>
      </c>
      <c r="L2196" s="607"/>
      <c r="M2196" s="614"/>
      <c r="N2196" s="614"/>
      <c r="O2196" s="287">
        <f t="shared" si="391"/>
        <v>0</v>
      </c>
      <c r="P2196" s="287">
        <f t="shared" si="392"/>
        <v>0</v>
      </c>
      <c r="Q2196" s="288"/>
      <c r="R2196" s="315" t="str">
        <f>IF(P2195&gt;0,"xy","")</f>
        <v/>
      </c>
      <c r="S2196" s="385" t="str">
        <f t="shared" si="437"/>
        <v/>
      </c>
    </row>
    <row r="2197" spans="2:19" ht="13.5" hidden="1" thickBot="1">
      <c r="B2197" s="609" t="s">
        <v>168</v>
      </c>
      <c r="C2197" s="610"/>
      <c r="D2197" s="611" t="s">
        <v>256</v>
      </c>
      <c r="E2197" s="602"/>
      <c r="F2197" s="603">
        <v>180</v>
      </c>
      <c r="G2197" s="604">
        <f>VLOOKUP(D2195,'ENSAIOS DE ORÇAMENTO'!$C$3:$L$79,5,FALSE)</f>
        <v>1.1293030000000002</v>
      </c>
      <c r="H2197" s="605">
        <f>IF(F2197=0,0,IF(F2197&lt;=30,(0.7*F2197+1.45)*G2197,((0.7*30+1.45)+0.58*(F2197-30))*G2197))</f>
        <v>123.60221335000003</v>
      </c>
      <c r="I2197" s="675"/>
      <c r="J2197" s="675"/>
      <c r="K2197" s="606">
        <f t="shared" si="438"/>
        <v>0</v>
      </c>
      <c r="L2197" s="607"/>
      <c r="M2197" s="614"/>
      <c r="N2197" s="614"/>
      <c r="O2197" s="287">
        <f t="shared" si="391"/>
        <v>0</v>
      </c>
      <c r="P2197" s="287">
        <f t="shared" si="392"/>
        <v>0</v>
      </c>
      <c r="Q2197" s="288"/>
      <c r="R2197" s="315" t="str">
        <f>IF(P2195&gt;0,"xy","")</f>
        <v/>
      </c>
      <c r="S2197" s="385" t="str">
        <f t="shared" si="437"/>
        <v/>
      </c>
    </row>
    <row r="2198" spans="2:19" ht="13.5" hidden="1" thickBot="1">
      <c r="B2198" s="609" t="s">
        <v>168</v>
      </c>
      <c r="C2198" s="610"/>
      <c r="D2198" s="611" t="s">
        <v>260</v>
      </c>
      <c r="E2198" s="602"/>
      <c r="F2198" s="603">
        <v>20</v>
      </c>
      <c r="G2198" s="604">
        <f>VLOOKUP(D2195,'ENSAIOS DE ORÇAMENTO'!$C$3:$L$79,6,FALSE)</f>
        <v>0.38805600000000001</v>
      </c>
      <c r="H2198" s="605">
        <f>IF(F2198=0,0,IF(F2198&lt;=30,(0.7*F2198+1.45)*G2198,((0.7*30+1.45)+0.58*(F2198-30))*G2198))</f>
        <v>5.9954651999999999</v>
      </c>
      <c r="I2198" s="675"/>
      <c r="J2198" s="675"/>
      <c r="K2198" s="606">
        <f t="shared" si="438"/>
        <v>0</v>
      </c>
      <c r="L2198" s="607"/>
      <c r="M2198" s="614"/>
      <c r="N2198" s="614"/>
      <c r="O2198" s="287">
        <f t="shared" si="391"/>
        <v>0</v>
      </c>
      <c r="P2198" s="287">
        <f t="shared" si="392"/>
        <v>0</v>
      </c>
      <c r="Q2198" s="288"/>
      <c r="R2198" s="243" t="str">
        <f>IF(P2195&gt;0,"xy","")</f>
        <v/>
      </c>
      <c r="S2198" s="385" t="str">
        <f t="shared" si="437"/>
        <v/>
      </c>
    </row>
    <row r="2199" spans="2:19" ht="13.5" hidden="1" thickBot="1">
      <c r="B2199" s="609" t="s">
        <v>168</v>
      </c>
      <c r="C2199" s="610"/>
      <c r="D2199" s="611" t="s">
        <v>417</v>
      </c>
      <c r="E2199" s="602"/>
      <c r="F2199" s="603">
        <v>30</v>
      </c>
      <c r="G2199" s="604">
        <f>VLOOKUP(D2195,'ENSAIOS DE ORÇAMENTO'!$C$3:$L$79,3,FALSE)</f>
        <v>1.6716959999999998</v>
      </c>
      <c r="H2199" s="605">
        <f>IF(F2199=0,0,IF(F2199&lt;=30,(0.7*F2199+1.45)*G2199,((0.7*30+1.45)+0.58*(F2199-30))*G2199))</f>
        <v>37.529575199999996</v>
      </c>
      <c r="I2199" s="675"/>
      <c r="J2199" s="675"/>
      <c r="K2199" s="606">
        <f t="shared" si="438"/>
        <v>0</v>
      </c>
      <c r="L2199" s="607"/>
      <c r="M2199" s="614"/>
      <c r="N2199" s="614"/>
      <c r="O2199" s="287">
        <f t="shared" si="391"/>
        <v>0</v>
      </c>
      <c r="P2199" s="287">
        <f t="shared" si="392"/>
        <v>0</v>
      </c>
      <c r="Q2199" s="288"/>
      <c r="R2199" s="315" t="str">
        <f>IF(P2195&gt;0,"xy","")</f>
        <v/>
      </c>
      <c r="S2199" s="385" t="str">
        <f t="shared" si="437"/>
        <v/>
      </c>
    </row>
    <row r="2200" spans="2:19" ht="13.5" hidden="1" thickBot="1">
      <c r="B2200" s="609" t="s">
        <v>168</v>
      </c>
      <c r="C2200" s="610"/>
      <c r="D2200" s="611" t="s">
        <v>418</v>
      </c>
      <c r="E2200" s="602"/>
      <c r="F2200" s="603">
        <v>500</v>
      </c>
      <c r="G2200" s="604">
        <f>VLOOKUP(D2195,'ENSAIOS DE ORÇAMENTO'!$C$3:$L$79,10,FALSE)</f>
        <v>5.5723200000000001E-2</v>
      </c>
      <c r="H2200" s="605">
        <f>IF(F2200=0,0,IF(F2200&lt;=30,(0.7*F2200+1.45)*G2200,((0.7*30+1.45)+0.58*(F2200-30))*G2200))</f>
        <v>16.441130159999997</v>
      </c>
      <c r="I2200" s="675"/>
      <c r="J2200" s="675"/>
      <c r="K2200" s="606">
        <f t="shared" si="438"/>
        <v>0</v>
      </c>
      <c r="L2200" s="607"/>
      <c r="M2200" s="614"/>
      <c r="N2200" s="614"/>
      <c r="O2200" s="287">
        <f t="shared" si="391"/>
        <v>0</v>
      </c>
      <c r="P2200" s="287">
        <f t="shared" si="392"/>
        <v>0</v>
      </c>
      <c r="Q2200" s="288"/>
      <c r="R2200" s="315" t="str">
        <f>IF(P2195&gt;0,"xy","")</f>
        <v/>
      </c>
      <c r="S2200" s="385" t="str">
        <f t="shared" si="437"/>
        <v/>
      </c>
    </row>
    <row r="2201" spans="2:19" ht="13.5" hidden="1" thickBot="1">
      <c r="B2201" s="609" t="s">
        <v>33</v>
      </c>
      <c r="C2201" s="610" t="s">
        <v>212</v>
      </c>
      <c r="D2201" s="611" t="s">
        <v>102</v>
      </c>
      <c r="E2201" s="602"/>
      <c r="F2201" s="603"/>
      <c r="G2201" s="604"/>
      <c r="H2201" s="605">
        <f>SUM(H2202:H2206)</f>
        <v>269.20506877000003</v>
      </c>
      <c r="I2201" s="675">
        <f>VLOOKUP(D2201,'ENSAIOS DE ORÇAMENTO'!$C$3:$L$79,8,FALSE)</f>
        <v>2327.7863779999998</v>
      </c>
      <c r="J2201" s="675">
        <f t="shared" ref="J2201" si="441">IF(ISBLANK(I2201),"",SUM(H2201:I2201))</f>
        <v>2596.99144677</v>
      </c>
      <c r="K2201" s="606">
        <f t="shared" si="438"/>
        <v>3151.45</v>
      </c>
      <c r="L2201" s="607" t="s">
        <v>21</v>
      </c>
      <c r="M2201" s="30"/>
      <c r="N2201" s="30"/>
      <c r="O2201" s="287">
        <f t="shared" si="391"/>
        <v>0</v>
      </c>
      <c r="P2201" s="287">
        <f t="shared" si="392"/>
        <v>0</v>
      </c>
      <c r="Q2201" s="288"/>
      <c r="S2201" s="385" t="str">
        <f t="shared" si="437"/>
        <v/>
      </c>
    </row>
    <row r="2202" spans="2:19" ht="13.5" hidden="1" thickBot="1">
      <c r="B2202" s="609" t="s">
        <v>168</v>
      </c>
      <c r="C2202" s="610"/>
      <c r="D2202" s="611" t="s">
        <v>218</v>
      </c>
      <c r="E2202" s="602"/>
      <c r="F2202" s="603">
        <v>500</v>
      </c>
      <c r="G2202" s="604">
        <f>VLOOKUP(D2201,'ENSAIOS DE ORÇAMENTO'!$C$3:$L$79,4,FALSE)</f>
        <v>0.23381399999999999</v>
      </c>
      <c r="H2202" s="605">
        <f>IF(F2202&lt;=30,(0.51*F2202+4.28)*G2202,((0.51*30+4.28)+0.42*(F2202-30))*G2202)</f>
        <v>50.732961720000006</v>
      </c>
      <c r="I2202" s="675"/>
      <c r="J2202" s="675"/>
      <c r="K2202" s="606">
        <f t="shared" si="438"/>
        <v>0</v>
      </c>
      <c r="L2202" s="607"/>
      <c r="M2202" s="614"/>
      <c r="N2202" s="614"/>
      <c r="O2202" s="287">
        <f t="shared" si="391"/>
        <v>0</v>
      </c>
      <c r="P2202" s="287">
        <f t="shared" si="392"/>
        <v>0</v>
      </c>
      <c r="Q2202" s="288"/>
      <c r="R2202" s="315" t="str">
        <f>IF(P2201&gt;0,"xy","")</f>
        <v/>
      </c>
      <c r="S2202" s="385" t="str">
        <f t="shared" si="437"/>
        <v/>
      </c>
    </row>
    <row r="2203" spans="2:19" ht="13.5" hidden="1" thickBot="1">
      <c r="B2203" s="609" t="s">
        <v>168</v>
      </c>
      <c r="C2203" s="610"/>
      <c r="D2203" s="611" t="s">
        <v>256</v>
      </c>
      <c r="E2203" s="602"/>
      <c r="F2203" s="603">
        <v>180</v>
      </c>
      <c r="G2203" s="604">
        <f>VLOOKUP(D2201,'ENSAIOS DE ORÇAMENTO'!$C$3:$L$79,5,FALSE)</f>
        <v>1.324927</v>
      </c>
      <c r="H2203" s="605">
        <f>IF(F2203=0,0,IF(F2203&lt;=30,(0.7*F2203+1.45)*G2203,((0.7*30+1.45)+0.58*(F2203-30))*G2203))</f>
        <v>145.01326015000001</v>
      </c>
      <c r="I2203" s="675"/>
      <c r="J2203" s="675"/>
      <c r="K2203" s="606">
        <f t="shared" si="438"/>
        <v>0</v>
      </c>
      <c r="L2203" s="607"/>
      <c r="M2203" s="614"/>
      <c r="N2203" s="614"/>
      <c r="O2203" s="287">
        <f t="shared" si="391"/>
        <v>0</v>
      </c>
      <c r="P2203" s="287">
        <f t="shared" si="392"/>
        <v>0</v>
      </c>
      <c r="Q2203" s="288"/>
      <c r="R2203" s="315" t="str">
        <f>IF(P2201&gt;0,"xy","")</f>
        <v/>
      </c>
      <c r="S2203" s="385" t="str">
        <f t="shared" si="437"/>
        <v/>
      </c>
    </row>
    <row r="2204" spans="2:19" ht="13.5" hidden="1" thickBot="1">
      <c r="B2204" s="609" t="s">
        <v>168</v>
      </c>
      <c r="C2204" s="610"/>
      <c r="D2204" s="611" t="s">
        <v>260</v>
      </c>
      <c r="E2204" s="602"/>
      <c r="F2204" s="603">
        <v>20</v>
      </c>
      <c r="G2204" s="604">
        <f>VLOOKUP(D2201,'ENSAIOS DE ORÇAMENTO'!$C$3:$L$79,6,FALSE)</f>
        <v>0.38805600000000001</v>
      </c>
      <c r="H2204" s="605">
        <f>IF(F2204=0,0,IF(F2204&lt;=30,(0.7*F2204+1.45)*G2204,((0.7*30+1.45)+0.58*(F2204-30))*G2204))</f>
        <v>5.9954651999999999</v>
      </c>
      <c r="I2204" s="675"/>
      <c r="J2204" s="675"/>
      <c r="K2204" s="606">
        <f t="shared" si="438"/>
        <v>0</v>
      </c>
      <c r="L2204" s="607"/>
      <c r="M2204" s="614"/>
      <c r="N2204" s="614"/>
      <c r="O2204" s="287">
        <f t="shared" si="391"/>
        <v>0</v>
      </c>
      <c r="P2204" s="287">
        <f t="shared" si="392"/>
        <v>0</v>
      </c>
      <c r="Q2204" s="288"/>
      <c r="R2204" s="243" t="str">
        <f>IF(P2201&gt;0,"xy","")</f>
        <v/>
      </c>
      <c r="S2204" s="385" t="str">
        <f t="shared" si="437"/>
        <v/>
      </c>
    </row>
    <row r="2205" spans="2:19" ht="13.5" hidden="1" thickBot="1">
      <c r="B2205" s="609" t="s">
        <v>168</v>
      </c>
      <c r="C2205" s="610"/>
      <c r="D2205" s="611" t="s">
        <v>417</v>
      </c>
      <c r="E2205" s="602"/>
      <c r="F2205" s="603">
        <v>30</v>
      </c>
      <c r="G2205" s="604">
        <f>VLOOKUP(D2201,'ENSAIOS DE ORÇAMENTO'!$C$3:$L$79,3,FALSE)</f>
        <v>2.0896199999999996</v>
      </c>
      <c r="H2205" s="605">
        <f>IF(F2205=0,0,IF(F2205&lt;=30,(0.7*F2205+1.45)*G2205,((0.7*30+1.45)+0.58*(F2205-30))*G2205))</f>
        <v>46.911968999999992</v>
      </c>
      <c r="I2205" s="675"/>
      <c r="J2205" s="675"/>
      <c r="K2205" s="606">
        <f t="shared" si="438"/>
        <v>0</v>
      </c>
      <c r="L2205" s="607"/>
      <c r="M2205" s="614"/>
      <c r="N2205" s="614"/>
      <c r="O2205" s="287">
        <f t="shared" si="391"/>
        <v>0</v>
      </c>
      <c r="P2205" s="287">
        <f t="shared" si="392"/>
        <v>0</v>
      </c>
      <c r="Q2205" s="288"/>
      <c r="R2205" s="315" t="str">
        <f>IF(P2201&gt;0,"xy","")</f>
        <v/>
      </c>
      <c r="S2205" s="385" t="str">
        <f t="shared" si="437"/>
        <v/>
      </c>
    </row>
    <row r="2206" spans="2:19" ht="13.5" hidden="1" thickBot="1">
      <c r="B2206" s="609" t="s">
        <v>168</v>
      </c>
      <c r="C2206" s="610"/>
      <c r="D2206" s="611" t="s">
        <v>418</v>
      </c>
      <c r="E2206" s="602"/>
      <c r="F2206" s="603">
        <v>500</v>
      </c>
      <c r="G2206" s="604">
        <f>VLOOKUP(D2201,'ENSAIOS DE ORÇAMENTO'!$C$3:$L$79,10,FALSE)</f>
        <v>6.9653999999999994E-2</v>
      </c>
      <c r="H2206" s="605">
        <f>IF(F2206=0,0,IF(F2206&lt;=30,(0.7*F2206+1.45)*G2206,((0.7*30+1.45)+0.58*(F2206-30))*G2206))</f>
        <v>20.551412699999997</v>
      </c>
      <c r="I2206" s="675"/>
      <c r="J2206" s="675"/>
      <c r="K2206" s="606">
        <f t="shared" si="438"/>
        <v>0</v>
      </c>
      <c r="L2206" s="607"/>
      <c r="M2206" s="614"/>
      <c r="N2206" s="614"/>
      <c r="O2206" s="287">
        <f t="shared" si="391"/>
        <v>0</v>
      </c>
      <c r="P2206" s="287">
        <f t="shared" si="392"/>
        <v>0</v>
      </c>
      <c r="Q2206" s="288"/>
      <c r="R2206" s="315" t="str">
        <f>IF(P2201&gt;0,"xy","")</f>
        <v/>
      </c>
      <c r="S2206" s="385" t="str">
        <f t="shared" si="437"/>
        <v/>
      </c>
    </row>
    <row r="2207" spans="2:19" ht="13.5" hidden="1" thickBot="1">
      <c r="B2207" s="609" t="s">
        <v>117</v>
      </c>
      <c r="C2207" s="610" t="s">
        <v>212</v>
      </c>
      <c r="D2207" s="611" t="s">
        <v>103</v>
      </c>
      <c r="E2207" s="602"/>
      <c r="F2207" s="603"/>
      <c r="G2207" s="604"/>
      <c r="H2207" s="605">
        <f>SUM(H2208:H2212)</f>
        <v>337.35408944800002</v>
      </c>
      <c r="I2207" s="675">
        <f>VLOOKUP(D2207,'ENSAIOS DE ORÇAMENTO'!$C$3:$L$79,8,FALSE)</f>
        <v>2685.6323780000002</v>
      </c>
      <c r="J2207" s="675">
        <f>IF(ISBLANK(I2207),"",SUM(H2207:I2207))</f>
        <v>3022.9864674480004</v>
      </c>
      <c r="K2207" s="606">
        <f t="shared" si="438"/>
        <v>3668.39</v>
      </c>
      <c r="L2207" s="607" t="s">
        <v>21</v>
      </c>
      <c r="M2207" s="30"/>
      <c r="N2207" s="30"/>
      <c r="O2207" s="287">
        <f t="shared" si="391"/>
        <v>0</v>
      </c>
      <c r="P2207" s="287">
        <f t="shared" si="392"/>
        <v>0</v>
      </c>
      <c r="Q2207" s="288"/>
      <c r="S2207" s="385" t="str">
        <f t="shared" si="437"/>
        <v/>
      </c>
    </row>
    <row r="2208" spans="2:19" ht="13.5" hidden="1" thickBot="1">
      <c r="B2208" s="609" t="s">
        <v>168</v>
      </c>
      <c r="C2208" s="610"/>
      <c r="D2208" s="611" t="s">
        <v>218</v>
      </c>
      <c r="E2208" s="602"/>
      <c r="F2208" s="603">
        <v>500</v>
      </c>
      <c r="G2208" s="604">
        <f>VLOOKUP(D2207,'ENSAIOS DE ORÇAMENTO'!$C$3:$L$79,4,FALSE)</f>
        <v>0.28185359999999998</v>
      </c>
      <c r="H2208" s="605">
        <f>IF(F2208&lt;=30,(0.51*F2208+4.28)*G2208,((0.51*30+4.28)+0.42*(F2208-30))*G2208)</f>
        <v>61.156594128000002</v>
      </c>
      <c r="I2208" s="675"/>
      <c r="J2208" s="675"/>
      <c r="K2208" s="606">
        <f t="shared" si="438"/>
        <v>0</v>
      </c>
      <c r="L2208" s="607"/>
      <c r="M2208" s="614"/>
      <c r="N2208" s="614"/>
      <c r="O2208" s="287">
        <f t="shared" si="391"/>
        <v>0</v>
      </c>
      <c r="P2208" s="287">
        <f t="shared" si="392"/>
        <v>0</v>
      </c>
      <c r="Q2208" s="288"/>
      <c r="R2208" s="315" t="str">
        <f>IF(P2207&gt;0,"xy","")</f>
        <v/>
      </c>
      <c r="S2208" s="385" t="str">
        <f t="shared" si="437"/>
        <v/>
      </c>
    </row>
    <row r="2209" spans="2:19" ht="13.5" hidden="1" thickBot="1">
      <c r="B2209" s="609" t="s">
        <v>168</v>
      </c>
      <c r="C2209" s="610"/>
      <c r="D2209" s="611" t="s">
        <v>256</v>
      </c>
      <c r="E2209" s="602"/>
      <c r="F2209" s="603">
        <v>180</v>
      </c>
      <c r="G2209" s="604">
        <f>VLOOKUP(D2207,'ENSAIOS DE ORÇAMENTO'!$C$3:$L$79,5,FALSE)</f>
        <v>1.6484590000000001</v>
      </c>
      <c r="H2209" s="605">
        <f>IF(F2209=0,0,IF(F2209&lt;=30,(0.7*F2209+1.45)*G2209,((0.7*30+1.45)+0.58*(F2209-30))*G2209))</f>
        <v>180.42383755000003</v>
      </c>
      <c r="I2209" s="675"/>
      <c r="J2209" s="675"/>
      <c r="K2209" s="606">
        <f t="shared" si="438"/>
        <v>0</v>
      </c>
      <c r="L2209" s="607"/>
      <c r="M2209" s="614"/>
      <c r="N2209" s="614"/>
      <c r="O2209" s="287">
        <f t="shared" si="391"/>
        <v>0</v>
      </c>
      <c r="P2209" s="287">
        <f t="shared" si="392"/>
        <v>0</v>
      </c>
      <c r="Q2209" s="288"/>
      <c r="R2209" s="315" t="str">
        <f>IF(P2207&gt;0,"xy","")</f>
        <v/>
      </c>
      <c r="S2209" s="385" t="str">
        <f t="shared" si="437"/>
        <v/>
      </c>
    </row>
    <row r="2210" spans="2:19" ht="13.5" hidden="1" thickBot="1">
      <c r="B2210" s="609" t="s">
        <v>168</v>
      </c>
      <c r="C2210" s="610"/>
      <c r="D2210" s="611" t="s">
        <v>260</v>
      </c>
      <c r="E2210" s="602"/>
      <c r="F2210" s="603">
        <v>20</v>
      </c>
      <c r="G2210" s="604">
        <f>VLOOKUP(D2207,'ENSAIOS DE ORÇAMENTO'!$C$3:$L$79,6,FALSE)</f>
        <v>0.38805600000000001</v>
      </c>
      <c r="H2210" s="605">
        <f>IF(F2210=0,0,IF(F2210&lt;=30,(0.7*F2210+1.45)*G2210,((0.7*30+1.45)+0.58*(F2210-30))*G2210))</f>
        <v>5.9954651999999999</v>
      </c>
      <c r="I2210" s="675"/>
      <c r="J2210" s="675"/>
      <c r="K2210" s="606">
        <f t="shared" si="438"/>
        <v>0</v>
      </c>
      <c r="L2210" s="607"/>
      <c r="M2210" s="614"/>
      <c r="N2210" s="614"/>
      <c r="O2210" s="287">
        <f t="shared" si="391"/>
        <v>0</v>
      </c>
      <c r="P2210" s="287">
        <f t="shared" si="392"/>
        <v>0</v>
      </c>
      <c r="Q2210" s="288"/>
      <c r="R2210" s="243" t="str">
        <f>IF(P2207&gt;0,"xy","")</f>
        <v/>
      </c>
      <c r="S2210" s="385" t="str">
        <f t="shared" si="437"/>
        <v/>
      </c>
    </row>
    <row r="2211" spans="2:19" ht="13.5" hidden="1" thickBot="1">
      <c r="B2211" s="609" t="s">
        <v>168</v>
      </c>
      <c r="C2211" s="610"/>
      <c r="D2211" s="611" t="s">
        <v>417</v>
      </c>
      <c r="E2211" s="602"/>
      <c r="F2211" s="603">
        <v>30</v>
      </c>
      <c r="G2211" s="604">
        <f>VLOOKUP(D2207,'ENSAIOS DE ORÇAMENTO'!$C$3:$L$79,3,FALSE)</f>
        <v>2.780802</v>
      </c>
      <c r="H2211" s="605">
        <f>IF(F2211=0,0,IF(F2211&lt;=30,(0.7*F2211+1.45)*G2211,((0.7*30+1.45)+0.58*(F2211-30))*G2211))</f>
        <v>62.429004899999995</v>
      </c>
      <c r="I2211" s="675"/>
      <c r="J2211" s="675"/>
      <c r="K2211" s="606">
        <f t="shared" si="438"/>
        <v>0</v>
      </c>
      <c r="L2211" s="607"/>
      <c r="M2211" s="614"/>
      <c r="N2211" s="614"/>
      <c r="O2211" s="287">
        <f t="shared" si="391"/>
        <v>0</v>
      </c>
      <c r="P2211" s="287">
        <f t="shared" si="392"/>
        <v>0</v>
      </c>
      <c r="Q2211" s="288"/>
      <c r="R2211" s="315" t="str">
        <f>IF(P2207&gt;0,"xy","")</f>
        <v/>
      </c>
      <c r="S2211" s="385" t="str">
        <f t="shared" si="437"/>
        <v/>
      </c>
    </row>
    <row r="2212" spans="2:19" ht="13.5" hidden="1" thickBot="1">
      <c r="B2212" s="609" t="s">
        <v>168</v>
      </c>
      <c r="C2212" s="610"/>
      <c r="D2212" s="611" t="s">
        <v>418</v>
      </c>
      <c r="E2212" s="602"/>
      <c r="F2212" s="603">
        <v>500</v>
      </c>
      <c r="G2212" s="604">
        <f>VLOOKUP(D2207,'ENSAIOS DE ORÇAMENTO'!$C$3:$L$79,10,FALSE)</f>
        <v>9.2693399999999995E-2</v>
      </c>
      <c r="H2212" s="605">
        <f>IF(F2212=0,0,IF(F2212&lt;=30,(0.7*F2212+1.45)*G2212,((0.7*30+1.45)+0.58*(F2212-30))*G2212))</f>
        <v>27.349187669999996</v>
      </c>
      <c r="I2212" s="675"/>
      <c r="J2212" s="675"/>
      <c r="K2212" s="606">
        <f t="shared" si="438"/>
        <v>0</v>
      </c>
      <c r="L2212" s="607"/>
      <c r="M2212" s="614"/>
      <c r="N2212" s="614"/>
      <c r="O2212" s="287">
        <f t="shared" si="391"/>
        <v>0</v>
      </c>
      <c r="P2212" s="287">
        <f t="shared" si="392"/>
        <v>0</v>
      </c>
      <c r="Q2212" s="288"/>
      <c r="R2212" s="315" t="str">
        <f>IF(P2207&gt;0,"xy","")</f>
        <v/>
      </c>
      <c r="S2212" s="385" t="str">
        <f t="shared" si="437"/>
        <v/>
      </c>
    </row>
    <row r="2213" spans="2:19" ht="13.5" hidden="1" thickBot="1">
      <c r="B2213" s="609" t="s">
        <v>118</v>
      </c>
      <c r="C2213" s="610" t="s">
        <v>212</v>
      </c>
      <c r="D2213" s="611" t="s">
        <v>104</v>
      </c>
      <c r="E2213" s="602"/>
      <c r="F2213" s="603"/>
      <c r="G2213" s="604"/>
      <c r="H2213" s="605">
        <f>SUM(H2214:H2218)</f>
        <v>407.08797107200002</v>
      </c>
      <c r="I2213" s="675">
        <f>VLOOKUP(D2213,'ENSAIOS DE ORÇAMENTO'!$C$3:$L$79,8,FALSE)</f>
        <v>3051.8003779999999</v>
      </c>
      <c r="J2213" s="675">
        <f>IF(ISBLANK(I2213),"",SUM(H2213:I2213))</f>
        <v>3458.888349072</v>
      </c>
      <c r="K2213" s="606">
        <f t="shared" si="438"/>
        <v>4197.3599999999997</v>
      </c>
      <c r="L2213" s="607" t="s">
        <v>21</v>
      </c>
      <c r="M2213" s="30"/>
      <c r="N2213" s="30"/>
      <c r="O2213" s="287">
        <f t="shared" si="391"/>
        <v>0</v>
      </c>
      <c r="P2213" s="287">
        <f t="shared" si="392"/>
        <v>0</v>
      </c>
      <c r="Q2213" s="288"/>
      <c r="S2213" s="385" t="str">
        <f t="shared" si="437"/>
        <v/>
      </c>
    </row>
    <row r="2214" spans="2:19" ht="13.5" hidden="1" thickBot="1">
      <c r="B2214" s="609" t="s">
        <v>168</v>
      </c>
      <c r="C2214" s="610"/>
      <c r="D2214" s="611" t="s">
        <v>218</v>
      </c>
      <c r="E2214" s="602"/>
      <c r="F2214" s="603">
        <v>500</v>
      </c>
      <c r="G2214" s="604">
        <f>VLOOKUP(D2213,'ENSAIOS DE ORÇAMENTO'!$C$3:$L$79,4,FALSE)</f>
        <v>0.33101039999999993</v>
      </c>
      <c r="H2214" s="605">
        <f>IF(F2214&lt;=30,(0.51*F2214+4.28)*G2214,((0.51*30+4.28)+0.42*(F2214-30))*G2214)</f>
        <v>71.822636591999995</v>
      </c>
      <c r="I2214" s="675"/>
      <c r="J2214" s="675"/>
      <c r="K2214" s="606">
        <f t="shared" si="438"/>
        <v>0</v>
      </c>
      <c r="L2214" s="607"/>
      <c r="M2214" s="614"/>
      <c r="N2214" s="614"/>
      <c r="O2214" s="287">
        <f t="shared" si="391"/>
        <v>0</v>
      </c>
      <c r="P2214" s="287">
        <f t="shared" si="392"/>
        <v>0</v>
      </c>
      <c r="Q2214" s="288"/>
      <c r="R2214" s="315" t="str">
        <f>IF(P2213&gt;0,"xy","")</f>
        <v/>
      </c>
      <c r="S2214" s="385" t="str">
        <f t="shared" si="437"/>
        <v/>
      </c>
    </row>
    <row r="2215" spans="2:19" ht="13.5" hidden="1" thickBot="1">
      <c r="B2215" s="609" t="s">
        <v>168</v>
      </c>
      <c r="C2215" s="610"/>
      <c r="D2215" s="611" t="s">
        <v>256</v>
      </c>
      <c r="E2215" s="602"/>
      <c r="F2215" s="603">
        <v>180</v>
      </c>
      <c r="G2215" s="604">
        <f>VLOOKUP(D2213,'ENSAIOS DE ORÇAMENTO'!$C$3:$L$79,5,FALSE)</f>
        <v>1.9795149999999999</v>
      </c>
      <c r="H2215" s="605">
        <f>IF(F2215=0,0,IF(F2215&lt;=30,(0.7*F2215+1.45)*G2215,((0.7*30+1.45)+0.58*(F2215-30))*G2215))</f>
        <v>216.65791675</v>
      </c>
      <c r="I2215" s="675"/>
      <c r="J2215" s="675"/>
      <c r="K2215" s="606">
        <f t="shared" si="438"/>
        <v>0</v>
      </c>
      <c r="L2215" s="607"/>
      <c r="M2215" s="614"/>
      <c r="N2215" s="614"/>
      <c r="O2215" s="287">
        <f t="shared" si="391"/>
        <v>0</v>
      </c>
      <c r="P2215" s="287">
        <f t="shared" si="392"/>
        <v>0</v>
      </c>
      <c r="Q2215" s="288"/>
      <c r="R2215" s="315" t="str">
        <f>IF(P2213&gt;0,"xy","")</f>
        <v/>
      </c>
      <c r="S2215" s="385" t="str">
        <f t="shared" si="437"/>
        <v/>
      </c>
    </row>
    <row r="2216" spans="2:19" ht="13.5" hidden="1" thickBot="1">
      <c r="B2216" s="609" t="s">
        <v>168</v>
      </c>
      <c r="C2216" s="610"/>
      <c r="D2216" s="611" t="s">
        <v>260</v>
      </c>
      <c r="E2216" s="602"/>
      <c r="F2216" s="603">
        <v>20</v>
      </c>
      <c r="G2216" s="604">
        <f>VLOOKUP(D2213,'ENSAIOS DE ORÇAMENTO'!$C$3:$L$79,6,FALSE)</f>
        <v>0.38805600000000001</v>
      </c>
      <c r="H2216" s="605">
        <f>IF(F2216=0,0,IF(F2216&lt;=30,(0.7*F2216+1.45)*G2216,((0.7*30+1.45)+0.58*(F2216-30))*G2216))</f>
        <v>5.9954651999999999</v>
      </c>
      <c r="I2216" s="675"/>
      <c r="J2216" s="675"/>
      <c r="K2216" s="606">
        <f t="shared" si="438"/>
        <v>0</v>
      </c>
      <c r="L2216" s="607"/>
      <c r="M2216" s="614"/>
      <c r="N2216" s="614"/>
      <c r="O2216" s="287">
        <f t="shared" si="391"/>
        <v>0</v>
      </c>
      <c r="P2216" s="287">
        <f t="shared" si="392"/>
        <v>0</v>
      </c>
      <c r="Q2216" s="288"/>
      <c r="R2216" s="243" t="str">
        <f>IF(P2213&gt;0,"xy","")</f>
        <v/>
      </c>
      <c r="S2216" s="385" t="str">
        <f t="shared" si="437"/>
        <v/>
      </c>
    </row>
    <row r="2217" spans="2:19" ht="13.5" hidden="1" thickBot="1">
      <c r="B2217" s="609" t="s">
        <v>168</v>
      </c>
      <c r="C2217" s="610"/>
      <c r="D2217" s="611" t="s">
        <v>417</v>
      </c>
      <c r="E2217" s="602"/>
      <c r="F2217" s="603">
        <v>30</v>
      </c>
      <c r="G2217" s="604">
        <f>VLOOKUP(D2213,'ENSAIOS DE ORÇAMENTO'!$C$3:$L$79,3,FALSE)</f>
        <v>3.4880579999999992</v>
      </c>
      <c r="H2217" s="605">
        <f>IF(F2217=0,0,IF(F2217&lt;=30,(0.7*F2217+1.45)*G2217,((0.7*30+1.45)+0.58*(F2217-30))*G2217))</f>
        <v>78.306902099999974</v>
      </c>
      <c r="I2217" s="675"/>
      <c r="J2217" s="675"/>
      <c r="K2217" s="606">
        <f t="shared" si="438"/>
        <v>0</v>
      </c>
      <c r="L2217" s="607"/>
      <c r="M2217" s="614"/>
      <c r="N2217" s="614"/>
      <c r="O2217" s="287">
        <f t="shared" si="391"/>
        <v>0</v>
      </c>
      <c r="P2217" s="287">
        <f t="shared" si="392"/>
        <v>0</v>
      </c>
      <c r="Q2217" s="288"/>
      <c r="R2217" s="315" t="str">
        <f>IF(P2213&gt;0,"xy","")</f>
        <v/>
      </c>
      <c r="S2217" s="385" t="str">
        <f t="shared" si="437"/>
        <v/>
      </c>
    </row>
    <row r="2218" spans="2:19" ht="13.5" hidden="1" thickBot="1">
      <c r="B2218" s="609" t="s">
        <v>168</v>
      </c>
      <c r="C2218" s="610"/>
      <c r="D2218" s="611" t="s">
        <v>418</v>
      </c>
      <c r="E2218" s="602"/>
      <c r="F2218" s="603">
        <v>500</v>
      </c>
      <c r="G2218" s="604">
        <f>VLOOKUP(D2213,'ENSAIOS DE ORÇAMENTO'!$C$3:$L$79,10,FALSE)</f>
        <v>0.11626859999999997</v>
      </c>
      <c r="H2218" s="605">
        <f>IF(F2218=0,0,IF(F2218&lt;=30,(0.7*F2218+1.45)*G2218,((0.7*30+1.45)+0.58*(F2218-30))*G2218))</f>
        <v>34.305050429999987</v>
      </c>
      <c r="I2218" s="675"/>
      <c r="J2218" s="675"/>
      <c r="K2218" s="606">
        <f t="shared" si="438"/>
        <v>0</v>
      </c>
      <c r="L2218" s="607"/>
      <c r="M2218" s="614"/>
      <c r="N2218" s="614"/>
      <c r="O2218" s="287">
        <f t="shared" si="391"/>
        <v>0</v>
      </c>
      <c r="P2218" s="287">
        <f t="shared" si="392"/>
        <v>0</v>
      </c>
      <c r="Q2218" s="288"/>
      <c r="R2218" s="315" t="str">
        <f>IF(P2213&gt;0,"xy","")</f>
        <v/>
      </c>
      <c r="S2218" s="385" t="str">
        <f t="shared" si="437"/>
        <v/>
      </c>
    </row>
    <row r="2219" spans="2:19" ht="13.5" hidden="1" thickBot="1">
      <c r="B2219" s="609" t="s">
        <v>119</v>
      </c>
      <c r="C2219" s="610" t="s">
        <v>212</v>
      </c>
      <c r="D2219" s="611" t="s">
        <v>423</v>
      </c>
      <c r="E2219" s="602"/>
      <c r="F2219" s="603"/>
      <c r="G2219" s="604"/>
      <c r="H2219" s="605">
        <f>SUM(H2220:H2224)</f>
        <v>486.84536437000008</v>
      </c>
      <c r="I2219" s="675">
        <f>VLOOKUP(D2219,'ENSAIOS DE ORÇAMENTO'!$C$3:$L$79,8,FALSE)</f>
        <v>1725.4115939999999</v>
      </c>
      <c r="J2219" s="675">
        <f t="shared" ref="J2219" si="442">IF(ISBLANK(I2219),"",SUM(H2219:I2219))</f>
        <v>2212.2569583700001</v>
      </c>
      <c r="K2219" s="606">
        <f t="shared" si="438"/>
        <v>2684.57</v>
      </c>
      <c r="L2219" s="607" t="s">
        <v>21</v>
      </c>
      <c r="M2219" s="30"/>
      <c r="N2219" s="30"/>
      <c r="O2219" s="287">
        <f t="shared" si="391"/>
        <v>0</v>
      </c>
      <c r="P2219" s="287">
        <f t="shared" si="392"/>
        <v>0</v>
      </c>
      <c r="Q2219" s="288"/>
      <c r="S2219" s="385" t="str">
        <f t="shared" si="437"/>
        <v/>
      </c>
    </row>
    <row r="2220" spans="2:19" ht="13.5" hidden="1" thickBot="1">
      <c r="B2220" s="609" t="s">
        <v>168</v>
      </c>
      <c r="C2220" s="610"/>
      <c r="D2220" s="611" t="s">
        <v>218</v>
      </c>
      <c r="E2220" s="602"/>
      <c r="F2220" s="603">
        <v>500</v>
      </c>
      <c r="G2220" s="604">
        <f>VLOOKUP(D2219,'ENSAIOS DE ORÇAMENTO'!$C$3:$L$79,4,FALSE)</f>
        <v>0.82205400000000006</v>
      </c>
      <c r="H2220" s="605">
        <f>IF(F2220&lt;=30,(0.51*F2220+4.28)*G2220,((0.51*30+4.28)+0.42*(F2220-30))*G2220)</f>
        <v>178.36927692000003</v>
      </c>
      <c r="I2220" s="675"/>
      <c r="J2220" s="675"/>
      <c r="K2220" s="606">
        <f t="shared" si="438"/>
        <v>0</v>
      </c>
      <c r="L2220" s="607"/>
      <c r="M2220" s="614"/>
      <c r="N2220" s="614"/>
      <c r="O2220" s="287">
        <f t="shared" si="391"/>
        <v>0</v>
      </c>
      <c r="P2220" s="287">
        <f t="shared" si="392"/>
        <v>0</v>
      </c>
      <c r="Q2220" s="288"/>
      <c r="R2220" s="315" t="str">
        <f>IF(P2219&gt;0,"xy","")</f>
        <v/>
      </c>
      <c r="S2220" s="385" t="str">
        <f t="shared" si="437"/>
        <v/>
      </c>
    </row>
    <row r="2221" spans="2:19" ht="13.5" hidden="1" thickBot="1">
      <c r="B2221" s="609" t="s">
        <v>168</v>
      </c>
      <c r="C2221" s="610"/>
      <c r="D2221" s="611" t="s">
        <v>256</v>
      </c>
      <c r="E2221" s="602"/>
      <c r="F2221" s="603">
        <v>180</v>
      </c>
      <c r="G2221" s="604">
        <f>VLOOKUP(D2219,'ENSAIOS DE ORÇAMENTO'!$C$3:$L$79,5,FALSE)</f>
        <v>2.4129430000000003</v>
      </c>
      <c r="H2221" s="605">
        <f>IF(F2221=0,0,IF(F2221&lt;=30,(0.7*F2221+1.45)*G2221,((0.7*30+1.45)+0.58*(F2221-30))*G2221))</f>
        <v>264.09661135000005</v>
      </c>
      <c r="I2221" s="675"/>
      <c r="J2221" s="675"/>
      <c r="K2221" s="606">
        <f t="shared" si="438"/>
        <v>0</v>
      </c>
      <c r="L2221" s="607"/>
      <c r="M2221" s="614"/>
      <c r="N2221" s="614"/>
      <c r="O2221" s="287">
        <f t="shared" si="391"/>
        <v>0</v>
      </c>
      <c r="P2221" s="287">
        <f t="shared" si="392"/>
        <v>0</v>
      </c>
      <c r="Q2221" s="288"/>
      <c r="R2221" s="315" t="str">
        <f>IF(P2219&gt;0,"xy","")</f>
        <v/>
      </c>
      <c r="S2221" s="385" t="str">
        <f t="shared" si="437"/>
        <v/>
      </c>
    </row>
    <row r="2222" spans="2:19" ht="13.5" hidden="1" thickBot="1">
      <c r="B2222" s="609" t="s">
        <v>168</v>
      </c>
      <c r="C2222" s="610"/>
      <c r="D2222" s="611" t="s">
        <v>260</v>
      </c>
      <c r="E2222" s="602"/>
      <c r="F2222" s="603">
        <v>20</v>
      </c>
      <c r="G2222" s="604">
        <f>VLOOKUP(D2219,'ENSAIOS DE ORÇAMENTO'!$C$3:$L$79,6,FALSE)</f>
        <v>2.8724580000000004</v>
      </c>
      <c r="H2222" s="605">
        <f>IF(F2222=0,0,IF(F2222&lt;=30,(0.7*F2222+1.45)*G2222,((0.7*30+1.45)+0.58*(F2222-30))*G2222))</f>
        <v>44.379476100000005</v>
      </c>
      <c r="I2222" s="675"/>
      <c r="J2222" s="675"/>
      <c r="K2222" s="606">
        <f t="shared" si="438"/>
        <v>0</v>
      </c>
      <c r="L2222" s="607"/>
      <c r="M2222" s="614"/>
      <c r="N2222" s="614"/>
      <c r="O2222" s="287">
        <f t="shared" si="391"/>
        <v>0</v>
      </c>
      <c r="P2222" s="287">
        <f t="shared" si="392"/>
        <v>0</v>
      </c>
      <c r="Q2222" s="288"/>
      <c r="R2222" s="243" t="str">
        <f>IF(P2219&gt;0,"xy","")</f>
        <v/>
      </c>
      <c r="S2222" s="385" t="str">
        <f t="shared" si="437"/>
        <v/>
      </c>
    </row>
    <row r="2223" spans="2:19" ht="13.5" hidden="1" thickBot="1">
      <c r="B2223" s="609" t="s">
        <v>168</v>
      </c>
      <c r="C2223" s="610"/>
      <c r="D2223" s="611" t="s">
        <v>417</v>
      </c>
      <c r="E2223" s="602"/>
      <c r="F2223" s="603">
        <v>30</v>
      </c>
      <c r="G2223" s="604">
        <f>VLOOKUP(D2219,'ENSAIOS DE ORÇAMENTO'!$C$3:$L$79,3,FALSE)</f>
        <v>0</v>
      </c>
      <c r="H2223" s="605">
        <f>IF(F2223=0,0,IF(F2223&lt;=30,(0.7*F2223+1.45)*G2223,((0.7*30+1.45)+0.58*(F2223-30))*G2223))</f>
        <v>0</v>
      </c>
      <c r="I2223" s="675"/>
      <c r="J2223" s="675"/>
      <c r="K2223" s="606">
        <f t="shared" si="438"/>
        <v>0</v>
      </c>
      <c r="L2223" s="607"/>
      <c r="M2223" s="614"/>
      <c r="N2223" s="614"/>
      <c r="O2223" s="287">
        <f t="shared" si="391"/>
        <v>0</v>
      </c>
      <c r="P2223" s="287">
        <f t="shared" si="392"/>
        <v>0</v>
      </c>
      <c r="Q2223" s="288"/>
      <c r="R2223" s="315" t="str">
        <f>IF(P2219&gt;0,"xy","")</f>
        <v/>
      </c>
      <c r="S2223" s="385" t="str">
        <f t="shared" si="437"/>
        <v/>
      </c>
    </row>
    <row r="2224" spans="2:19" ht="13.5" hidden="1" thickBot="1">
      <c r="B2224" s="609" t="s">
        <v>168</v>
      </c>
      <c r="C2224" s="610"/>
      <c r="D2224" s="611" t="s">
        <v>418</v>
      </c>
      <c r="E2224" s="602"/>
      <c r="F2224" s="603">
        <v>500</v>
      </c>
      <c r="G2224" s="604">
        <f>VLOOKUP(D2219,'ENSAIOS DE ORÇAMENTO'!$C$3:$L$79,10,FALSE)</f>
        <v>0</v>
      </c>
      <c r="H2224" s="605">
        <f>IF(F2224=0,0,IF(F2224&lt;=30,(0.7*F2224+1.45)*G2224,((0.7*30+1.45)+0.58*(F2224-30))*G2224))</f>
        <v>0</v>
      </c>
      <c r="I2224" s="675"/>
      <c r="J2224" s="675"/>
      <c r="K2224" s="606">
        <f t="shared" si="438"/>
        <v>0</v>
      </c>
      <c r="L2224" s="607"/>
      <c r="M2224" s="614"/>
      <c r="N2224" s="614"/>
      <c r="O2224" s="287">
        <f t="shared" si="391"/>
        <v>0</v>
      </c>
      <c r="P2224" s="287">
        <f t="shared" si="392"/>
        <v>0</v>
      </c>
      <c r="Q2224" s="288"/>
      <c r="R2224" s="315" t="str">
        <f>IF(P2219&gt;0,"xy","")</f>
        <v/>
      </c>
      <c r="S2224" s="385" t="str">
        <f t="shared" si="437"/>
        <v/>
      </c>
    </row>
    <row r="2225" spans="2:19" ht="13.5" hidden="1" thickBot="1">
      <c r="B2225" s="609" t="s">
        <v>120</v>
      </c>
      <c r="C2225" s="610" t="s">
        <v>212</v>
      </c>
      <c r="D2225" s="611" t="s">
        <v>424</v>
      </c>
      <c r="E2225" s="602"/>
      <c r="F2225" s="603"/>
      <c r="G2225" s="604"/>
      <c r="H2225" s="605">
        <f>SUM(H2226:H2230)</f>
        <v>605.69719581999993</v>
      </c>
      <c r="I2225" s="675">
        <f>VLOOKUP(D2225,'ENSAIOS DE ORÇAMENTO'!$C$3:$L$79,8,FALSE)</f>
        <v>2037.8584239999998</v>
      </c>
      <c r="J2225" s="675">
        <f t="shared" ref="J2225" si="443">IF(ISBLANK(I2225),"",SUM(H2225:I2225))</f>
        <v>2643.5556198199997</v>
      </c>
      <c r="K2225" s="606">
        <f t="shared" si="438"/>
        <v>3207.95</v>
      </c>
      <c r="L2225" s="607" t="s">
        <v>21</v>
      </c>
      <c r="M2225" s="30"/>
      <c r="N2225" s="30"/>
      <c r="O2225" s="287">
        <f t="shared" si="391"/>
        <v>0</v>
      </c>
      <c r="P2225" s="287">
        <f t="shared" si="392"/>
        <v>0</v>
      </c>
      <c r="Q2225" s="288"/>
      <c r="S2225" s="385" t="str">
        <f t="shared" si="437"/>
        <v/>
      </c>
    </row>
    <row r="2226" spans="2:19" ht="13.5" hidden="1" thickBot="1">
      <c r="B2226" s="609" t="s">
        <v>168</v>
      </c>
      <c r="C2226" s="610"/>
      <c r="D2226" s="611" t="s">
        <v>218</v>
      </c>
      <c r="E2226" s="602"/>
      <c r="F2226" s="603">
        <v>500</v>
      </c>
      <c r="G2226" s="604">
        <f>VLOOKUP(D2225,'ENSAIOS DE ORÇAMENTO'!$C$3:$L$79,4,FALSE)</f>
        <v>1.028964</v>
      </c>
      <c r="H2226" s="605">
        <f>IF(F2226&lt;=30,(0.51*F2226+4.28)*G2226,((0.51*30+4.28)+0.42*(F2226-30))*G2226)</f>
        <v>223.26460872000001</v>
      </c>
      <c r="I2226" s="675"/>
      <c r="J2226" s="675"/>
      <c r="K2226" s="606">
        <f t="shared" si="438"/>
        <v>0</v>
      </c>
      <c r="L2226" s="607"/>
      <c r="M2226" s="614"/>
      <c r="N2226" s="614"/>
      <c r="O2226" s="287">
        <f t="shared" si="391"/>
        <v>0</v>
      </c>
      <c r="P2226" s="287">
        <f t="shared" si="392"/>
        <v>0</v>
      </c>
      <c r="Q2226" s="288"/>
      <c r="R2226" s="315" t="str">
        <f>IF(P2225&gt;0,"xy","")</f>
        <v/>
      </c>
      <c r="S2226" s="385" t="str">
        <f t="shared" si="437"/>
        <v/>
      </c>
    </row>
    <row r="2227" spans="2:19" ht="13.5" hidden="1" thickBot="1">
      <c r="B2227" s="609" t="s">
        <v>168</v>
      </c>
      <c r="C2227" s="610"/>
      <c r="D2227" s="611" t="s">
        <v>256</v>
      </c>
      <c r="E2227" s="602"/>
      <c r="F2227" s="603">
        <v>180</v>
      </c>
      <c r="G2227" s="604">
        <f>VLOOKUP(D2225,'ENSAIOS DE ORÇAMENTO'!$C$3:$L$79,5,FALSE)</f>
        <v>2.9904099999999998</v>
      </c>
      <c r="H2227" s="605">
        <f>IF(F2227=0,0,IF(F2227&lt;=30,(0.7*F2227+1.45)*G2227,((0.7*30+1.45)+0.58*(F2227-30))*G2227))</f>
        <v>327.30037449999998</v>
      </c>
      <c r="I2227" s="675"/>
      <c r="J2227" s="675"/>
      <c r="K2227" s="606">
        <f t="shared" si="438"/>
        <v>0</v>
      </c>
      <c r="L2227" s="607"/>
      <c r="M2227" s="614"/>
      <c r="N2227" s="614"/>
      <c r="O2227" s="287">
        <f t="shared" si="391"/>
        <v>0</v>
      </c>
      <c r="P2227" s="287">
        <f t="shared" si="392"/>
        <v>0</v>
      </c>
      <c r="Q2227" s="288"/>
      <c r="R2227" s="315" t="str">
        <f>IF(P2225&gt;0,"xy","")</f>
        <v/>
      </c>
      <c r="S2227" s="385" t="str">
        <f t="shared" si="437"/>
        <v/>
      </c>
    </row>
    <row r="2228" spans="2:19" ht="13.5" hidden="1" thickBot="1">
      <c r="B2228" s="609" t="s">
        <v>168</v>
      </c>
      <c r="C2228" s="610"/>
      <c r="D2228" s="611" t="s">
        <v>260</v>
      </c>
      <c r="E2228" s="602"/>
      <c r="F2228" s="603">
        <v>20</v>
      </c>
      <c r="G2228" s="604">
        <f>VLOOKUP(D2225,'ENSAIOS DE ORÇAMENTO'!$C$3:$L$79,6,FALSE)</f>
        <v>3.5684279999999999</v>
      </c>
      <c r="H2228" s="605">
        <f>IF(F2228=0,0,IF(F2228&lt;=30,(0.7*F2228+1.45)*G2228,((0.7*30+1.45)+0.58*(F2228-30))*G2228))</f>
        <v>55.132212599999995</v>
      </c>
      <c r="I2228" s="675"/>
      <c r="J2228" s="675"/>
      <c r="K2228" s="606">
        <f t="shared" si="438"/>
        <v>0</v>
      </c>
      <c r="L2228" s="607"/>
      <c r="M2228" s="614"/>
      <c r="N2228" s="614"/>
      <c r="O2228" s="287">
        <f t="shared" si="391"/>
        <v>0</v>
      </c>
      <c r="P2228" s="287">
        <f t="shared" si="392"/>
        <v>0</v>
      </c>
      <c r="Q2228" s="288"/>
      <c r="R2228" s="243" t="str">
        <f>IF(P2225&gt;0,"xy","")</f>
        <v/>
      </c>
      <c r="S2228" s="385" t="str">
        <f t="shared" si="437"/>
        <v/>
      </c>
    </row>
    <row r="2229" spans="2:19" ht="13.5" hidden="1" thickBot="1">
      <c r="B2229" s="609" t="s">
        <v>168</v>
      </c>
      <c r="C2229" s="610"/>
      <c r="D2229" s="611" t="s">
        <v>417</v>
      </c>
      <c r="E2229" s="602"/>
      <c r="F2229" s="603">
        <v>30</v>
      </c>
      <c r="G2229" s="604">
        <f>VLOOKUP(D2225,'ENSAIOS DE ORÇAMENTO'!$C$3:$L$79,3,FALSE)</f>
        <v>0</v>
      </c>
      <c r="H2229" s="605">
        <f>IF(F2229=0,0,IF(F2229&lt;=30,(0.7*F2229+1.45)*G2229,((0.7*30+1.45)+0.58*(F2229-30))*G2229))</f>
        <v>0</v>
      </c>
      <c r="I2229" s="675"/>
      <c r="J2229" s="675"/>
      <c r="K2229" s="606">
        <f t="shared" si="438"/>
        <v>0</v>
      </c>
      <c r="L2229" s="607"/>
      <c r="M2229" s="614"/>
      <c r="N2229" s="614"/>
      <c r="O2229" s="287">
        <f t="shared" si="391"/>
        <v>0</v>
      </c>
      <c r="P2229" s="287">
        <f t="shared" si="392"/>
        <v>0</v>
      </c>
      <c r="Q2229" s="288"/>
      <c r="R2229" s="315" t="str">
        <f>IF(P2225&gt;0,"xy","")</f>
        <v/>
      </c>
      <c r="S2229" s="385" t="str">
        <f t="shared" si="437"/>
        <v/>
      </c>
    </row>
    <row r="2230" spans="2:19" ht="13.5" hidden="1" thickBot="1">
      <c r="B2230" s="609" t="s">
        <v>168</v>
      </c>
      <c r="C2230" s="610"/>
      <c r="D2230" s="611" t="s">
        <v>418</v>
      </c>
      <c r="E2230" s="602"/>
      <c r="F2230" s="603">
        <v>500</v>
      </c>
      <c r="G2230" s="604">
        <f>VLOOKUP(D2225,'ENSAIOS DE ORÇAMENTO'!$C$3:$L$79,10,FALSE)</f>
        <v>0</v>
      </c>
      <c r="H2230" s="605">
        <f>IF(F2230=0,0,IF(F2230&lt;=30,(0.7*F2230+1.45)*G2230,((0.7*30+1.45)+0.58*(F2230-30))*G2230))</f>
        <v>0</v>
      </c>
      <c r="I2230" s="675"/>
      <c r="J2230" s="675"/>
      <c r="K2230" s="606">
        <f t="shared" si="438"/>
        <v>0</v>
      </c>
      <c r="L2230" s="607"/>
      <c r="M2230" s="614"/>
      <c r="N2230" s="614"/>
      <c r="O2230" s="287">
        <f t="shared" si="391"/>
        <v>0</v>
      </c>
      <c r="P2230" s="287">
        <f t="shared" si="392"/>
        <v>0</v>
      </c>
      <c r="Q2230" s="288"/>
      <c r="R2230" s="315" t="str">
        <f>IF(P2225&gt;0,"xy","")</f>
        <v/>
      </c>
      <c r="S2230" s="385" t="str">
        <f t="shared" si="437"/>
        <v/>
      </c>
    </row>
    <row r="2231" spans="2:19" ht="13.5" hidden="1" thickBot="1">
      <c r="B2231" s="609" t="s">
        <v>121</v>
      </c>
      <c r="C2231" s="610" t="s">
        <v>212</v>
      </c>
      <c r="D2231" s="611" t="s">
        <v>425</v>
      </c>
      <c r="E2231" s="602"/>
      <c r="F2231" s="603"/>
      <c r="G2231" s="604"/>
      <c r="H2231" s="605">
        <f>SUM(H2232:H2236)</f>
        <v>800.18201091999993</v>
      </c>
      <c r="I2231" s="675">
        <f>VLOOKUP(D2231,'ENSAIOS DE ORÇAMENTO'!$C$3:$L$79,8,FALSE)</f>
        <v>2550.6243439999998</v>
      </c>
      <c r="J2231" s="675">
        <f t="shared" ref="J2231" si="444">IF(ISBLANK(I2231),"",SUM(H2231:I2231))</f>
        <v>3350.8063549199996</v>
      </c>
      <c r="K2231" s="606">
        <f t="shared" si="438"/>
        <v>4066.2</v>
      </c>
      <c r="L2231" s="607" t="s">
        <v>21</v>
      </c>
      <c r="M2231" s="30"/>
      <c r="N2231" s="30"/>
      <c r="O2231" s="287">
        <f t="shared" si="391"/>
        <v>0</v>
      </c>
      <c r="P2231" s="287">
        <f t="shared" si="392"/>
        <v>0</v>
      </c>
      <c r="Q2231" s="288"/>
      <c r="S2231" s="385" t="str">
        <f t="shared" si="437"/>
        <v/>
      </c>
    </row>
    <row r="2232" spans="2:19" ht="13.5" hidden="1" thickBot="1">
      <c r="B2232" s="609" t="s">
        <v>168</v>
      </c>
      <c r="C2232" s="610"/>
      <c r="D2232" s="611" t="s">
        <v>218</v>
      </c>
      <c r="E2232" s="602"/>
      <c r="F2232" s="603">
        <v>500</v>
      </c>
      <c r="G2232" s="604">
        <f>VLOOKUP(D2231,'ENSAIOS DE ORÇAMENTO'!$C$3:$L$79,4,FALSE)</f>
        <v>1.3675439999999999</v>
      </c>
      <c r="H2232" s="605">
        <f>IF(F2232&lt;=30,(0.51*F2232+4.28)*G2232,((0.51*30+4.28)+0.42*(F2232-30))*G2232)</f>
        <v>296.72969711999997</v>
      </c>
      <c r="I2232" s="675"/>
      <c r="J2232" s="675"/>
      <c r="K2232" s="606">
        <f t="shared" si="438"/>
        <v>0</v>
      </c>
      <c r="L2232" s="607"/>
      <c r="M2232" s="614"/>
      <c r="N2232" s="614"/>
      <c r="O2232" s="287">
        <f t="shared" si="391"/>
        <v>0</v>
      </c>
      <c r="P2232" s="287">
        <f t="shared" si="392"/>
        <v>0</v>
      </c>
      <c r="Q2232" s="288"/>
      <c r="R2232" s="315" t="str">
        <f>IF(P2231&gt;0,"xy","")</f>
        <v/>
      </c>
      <c r="S2232" s="385" t="str">
        <f t="shared" si="437"/>
        <v/>
      </c>
    </row>
    <row r="2233" spans="2:19" ht="13.5" hidden="1" thickBot="1">
      <c r="B2233" s="609" t="s">
        <v>168</v>
      </c>
      <c r="C2233" s="610"/>
      <c r="D2233" s="611" t="s">
        <v>256</v>
      </c>
      <c r="E2233" s="602"/>
      <c r="F2233" s="603">
        <v>180</v>
      </c>
      <c r="G2233" s="604">
        <f>VLOOKUP(D2231,'ENSAIOS DE ORÇAMENTO'!$C$3:$L$79,5,FALSE)</f>
        <v>3.9353559999999996</v>
      </c>
      <c r="H2233" s="605">
        <f>IF(F2233=0,0,IF(F2233&lt;=30,(0.7*F2233+1.45)*G2233,((0.7*30+1.45)+0.58*(F2233-30))*G2233))</f>
        <v>430.72471419999999</v>
      </c>
      <c r="I2233" s="675"/>
      <c r="J2233" s="675"/>
      <c r="K2233" s="606">
        <f t="shared" si="438"/>
        <v>0</v>
      </c>
      <c r="L2233" s="607"/>
      <c r="M2233" s="614"/>
      <c r="N2233" s="614"/>
      <c r="O2233" s="287">
        <f t="shared" si="391"/>
        <v>0</v>
      </c>
      <c r="P2233" s="287">
        <f t="shared" si="392"/>
        <v>0</v>
      </c>
      <c r="Q2233" s="288"/>
      <c r="R2233" s="315" t="str">
        <f>IF(P2231&gt;0,"xy","")</f>
        <v/>
      </c>
      <c r="S2233" s="385" t="str">
        <f t="shared" si="437"/>
        <v/>
      </c>
    </row>
    <row r="2234" spans="2:19" ht="13.5" hidden="1" thickBot="1">
      <c r="B2234" s="609" t="s">
        <v>168</v>
      </c>
      <c r="C2234" s="610"/>
      <c r="D2234" s="611" t="s">
        <v>260</v>
      </c>
      <c r="E2234" s="602"/>
      <c r="F2234" s="603">
        <v>20</v>
      </c>
      <c r="G2234" s="604">
        <f>VLOOKUP(D2231,'ENSAIOS DE ORÇAMENTO'!$C$3:$L$79,6,FALSE)</f>
        <v>4.7072880000000001</v>
      </c>
      <c r="H2234" s="605">
        <f>IF(F2234=0,0,IF(F2234&lt;=30,(0.7*F2234+1.45)*G2234,((0.7*30+1.45)+0.58*(F2234-30))*G2234))</f>
        <v>72.727599600000005</v>
      </c>
      <c r="I2234" s="675"/>
      <c r="J2234" s="675"/>
      <c r="K2234" s="606">
        <f t="shared" si="438"/>
        <v>0</v>
      </c>
      <c r="L2234" s="607"/>
      <c r="M2234" s="614"/>
      <c r="N2234" s="614"/>
      <c r="O2234" s="287">
        <f t="shared" si="391"/>
        <v>0</v>
      </c>
      <c r="P2234" s="287">
        <f t="shared" si="392"/>
        <v>0</v>
      </c>
      <c r="Q2234" s="288"/>
      <c r="R2234" s="243" t="str">
        <f>IF(P2231&gt;0,"xy","")</f>
        <v/>
      </c>
      <c r="S2234" s="385" t="str">
        <f t="shared" si="437"/>
        <v/>
      </c>
    </row>
    <row r="2235" spans="2:19" ht="13.5" hidden="1" thickBot="1">
      <c r="B2235" s="609" t="s">
        <v>168</v>
      </c>
      <c r="C2235" s="610"/>
      <c r="D2235" s="611" t="s">
        <v>417</v>
      </c>
      <c r="E2235" s="602"/>
      <c r="F2235" s="603">
        <v>30</v>
      </c>
      <c r="G2235" s="604">
        <f>VLOOKUP(D2231,'ENSAIOS DE ORÇAMENTO'!$C$3:$L$79,3,FALSE)</f>
        <v>0</v>
      </c>
      <c r="H2235" s="605">
        <f>IF(F2235=0,0,IF(F2235&lt;=30,(0.7*F2235+1.45)*G2235,((0.7*30+1.45)+0.58*(F2235-30))*G2235))</f>
        <v>0</v>
      </c>
      <c r="I2235" s="675"/>
      <c r="J2235" s="675"/>
      <c r="K2235" s="606">
        <f t="shared" si="438"/>
        <v>0</v>
      </c>
      <c r="L2235" s="607"/>
      <c r="M2235" s="614"/>
      <c r="N2235" s="614"/>
      <c r="O2235" s="287">
        <f t="shared" si="391"/>
        <v>0</v>
      </c>
      <c r="P2235" s="287">
        <f t="shared" si="392"/>
        <v>0</v>
      </c>
      <c r="Q2235" s="288"/>
      <c r="R2235" s="315" t="str">
        <f>IF(P2231&gt;0,"xy","")</f>
        <v/>
      </c>
      <c r="S2235" s="385" t="str">
        <f t="shared" si="437"/>
        <v/>
      </c>
    </row>
    <row r="2236" spans="2:19" ht="13.5" hidden="1" thickBot="1">
      <c r="B2236" s="609" t="s">
        <v>168</v>
      </c>
      <c r="C2236" s="610"/>
      <c r="D2236" s="611" t="s">
        <v>418</v>
      </c>
      <c r="E2236" s="602"/>
      <c r="F2236" s="603">
        <v>500</v>
      </c>
      <c r="G2236" s="604">
        <f>VLOOKUP(D2231,'ENSAIOS DE ORÇAMENTO'!$C$3:$L$79,10,FALSE)</f>
        <v>0</v>
      </c>
      <c r="H2236" s="605">
        <f>IF(F2236=0,0,IF(F2236&lt;=30,(0.7*F2236+1.45)*G2236,((0.7*30+1.45)+0.58*(F2236-30))*G2236))</f>
        <v>0</v>
      </c>
      <c r="I2236" s="675"/>
      <c r="J2236" s="675"/>
      <c r="K2236" s="606">
        <f t="shared" si="438"/>
        <v>0</v>
      </c>
      <c r="L2236" s="607"/>
      <c r="M2236" s="614"/>
      <c r="N2236" s="614"/>
      <c r="O2236" s="287">
        <f t="shared" si="391"/>
        <v>0</v>
      </c>
      <c r="P2236" s="287">
        <f t="shared" si="392"/>
        <v>0</v>
      </c>
      <c r="Q2236" s="288"/>
      <c r="R2236" s="315" t="str">
        <f>IF(P2231&gt;0,"xy","")</f>
        <v/>
      </c>
      <c r="S2236" s="385" t="str">
        <f t="shared" si="437"/>
        <v/>
      </c>
    </row>
    <row r="2237" spans="2:19" ht="13.5" hidden="1" thickBot="1">
      <c r="B2237" s="609" t="s">
        <v>122</v>
      </c>
      <c r="C2237" s="610" t="s">
        <v>212</v>
      </c>
      <c r="D2237" s="611" t="s">
        <v>426</v>
      </c>
      <c r="E2237" s="602"/>
      <c r="F2237" s="603"/>
      <c r="G2237" s="604"/>
      <c r="H2237" s="605">
        <f>SUM(H2238:H2242)</f>
        <v>998.2683966699999</v>
      </c>
      <c r="I2237" s="675">
        <f>VLOOKUP(D2237,'ENSAIOS DE ORÇAMENTO'!$C$3:$L$79,8,FALSE)</f>
        <v>3071.0816539999996</v>
      </c>
      <c r="J2237" s="675">
        <f t="shared" ref="J2237" si="445">IF(ISBLANK(I2237),"",SUM(H2237:I2237))</f>
        <v>4069.3500506699993</v>
      </c>
      <c r="K2237" s="606">
        <f t="shared" si="438"/>
        <v>4938.16</v>
      </c>
      <c r="L2237" s="607" t="s">
        <v>21</v>
      </c>
      <c r="M2237" s="30"/>
      <c r="N2237" s="30"/>
      <c r="O2237" s="287">
        <f t="shared" si="391"/>
        <v>0</v>
      </c>
      <c r="P2237" s="287">
        <f t="shared" si="392"/>
        <v>0</v>
      </c>
      <c r="Q2237" s="288"/>
      <c r="S2237" s="385" t="str">
        <f t="shared" si="437"/>
        <v/>
      </c>
    </row>
    <row r="2238" spans="2:19" ht="13.5" hidden="1" thickBot="1">
      <c r="B2238" s="609" t="s">
        <v>168</v>
      </c>
      <c r="C2238" s="610"/>
      <c r="D2238" s="611" t="s">
        <v>218</v>
      </c>
      <c r="E2238" s="602"/>
      <c r="F2238" s="603">
        <v>500</v>
      </c>
      <c r="G2238" s="604">
        <f>VLOOKUP(D2237,'ENSAIOS DE ORÇAMENTO'!$C$3:$L$79,4,FALSE)</f>
        <v>1.7123939999999997</v>
      </c>
      <c r="H2238" s="605">
        <f>IF(F2238&lt;=30,(0.51*F2238+4.28)*G2238,((0.51*30+4.28)+0.42*(F2238-30))*G2238)</f>
        <v>371.55525011999998</v>
      </c>
      <c r="I2238" s="675"/>
      <c r="J2238" s="675"/>
      <c r="K2238" s="606">
        <f t="shared" si="438"/>
        <v>0</v>
      </c>
      <c r="L2238" s="607"/>
      <c r="M2238" s="614"/>
      <c r="N2238" s="614"/>
      <c r="O2238" s="287">
        <f t="shared" si="391"/>
        <v>0</v>
      </c>
      <c r="P2238" s="287">
        <f t="shared" si="392"/>
        <v>0</v>
      </c>
      <c r="Q2238" s="288"/>
      <c r="R2238" s="315" t="str">
        <f>IF(P2237&gt;0,"xy","")</f>
        <v/>
      </c>
      <c r="S2238" s="385" t="str">
        <f t="shared" si="437"/>
        <v/>
      </c>
    </row>
    <row r="2239" spans="2:19" ht="13.5" hidden="1" thickBot="1">
      <c r="B2239" s="609" t="s">
        <v>168</v>
      </c>
      <c r="C2239" s="610"/>
      <c r="D2239" s="611" t="s">
        <v>256</v>
      </c>
      <c r="E2239" s="602"/>
      <c r="F2239" s="603">
        <v>180</v>
      </c>
      <c r="G2239" s="604">
        <f>VLOOKUP(D2237,'ENSAIOS DE ORÇAMENTO'!$C$3:$L$79,5,FALSE)</f>
        <v>4.8978009999999994</v>
      </c>
      <c r="H2239" s="605">
        <f>IF(F2239=0,0,IF(F2239&lt;=30,(0.7*F2239+1.45)*G2239,((0.7*30+1.45)+0.58*(F2239-30))*G2239))</f>
        <v>536.06431944999997</v>
      </c>
      <c r="I2239" s="675"/>
      <c r="J2239" s="675"/>
      <c r="K2239" s="606">
        <f t="shared" si="438"/>
        <v>0</v>
      </c>
      <c r="L2239" s="607"/>
      <c r="M2239" s="614"/>
      <c r="N2239" s="614"/>
      <c r="O2239" s="287">
        <f t="shared" si="391"/>
        <v>0</v>
      </c>
      <c r="P2239" s="287">
        <f t="shared" si="392"/>
        <v>0</v>
      </c>
      <c r="Q2239" s="288"/>
      <c r="R2239" s="315" t="str">
        <f>IF(P2237&gt;0,"xy","")</f>
        <v/>
      </c>
      <c r="S2239" s="385" t="str">
        <f t="shared" si="437"/>
        <v/>
      </c>
    </row>
    <row r="2240" spans="2:19" ht="13.5" hidden="1" thickBot="1">
      <c r="B2240" s="609" t="s">
        <v>168</v>
      </c>
      <c r="C2240" s="610"/>
      <c r="D2240" s="611" t="s">
        <v>260</v>
      </c>
      <c r="E2240" s="602"/>
      <c r="F2240" s="603">
        <v>20</v>
      </c>
      <c r="G2240" s="604">
        <f>VLOOKUP(D2237,'ENSAIOS DE ORÇAMENTO'!$C$3:$L$79,6,FALSE)</f>
        <v>5.8672380000000004</v>
      </c>
      <c r="H2240" s="605">
        <f>IF(F2240=0,0,IF(F2240&lt;=30,(0.7*F2240+1.45)*G2240,((0.7*30+1.45)+0.58*(F2240-30))*G2240))</f>
        <v>90.648827100000005</v>
      </c>
      <c r="I2240" s="675"/>
      <c r="J2240" s="675"/>
      <c r="K2240" s="606">
        <f t="shared" si="438"/>
        <v>0</v>
      </c>
      <c r="L2240" s="607"/>
      <c r="M2240" s="614"/>
      <c r="N2240" s="614"/>
      <c r="O2240" s="287">
        <f t="shared" si="391"/>
        <v>0</v>
      </c>
      <c r="P2240" s="287">
        <f t="shared" si="392"/>
        <v>0</v>
      </c>
      <c r="Q2240" s="288"/>
      <c r="R2240" s="243" t="str">
        <f>IF(P2237&gt;0,"xy","")</f>
        <v/>
      </c>
      <c r="S2240" s="385" t="str">
        <f t="shared" si="437"/>
        <v/>
      </c>
    </row>
    <row r="2241" spans="2:19" ht="13.5" hidden="1" thickBot="1">
      <c r="B2241" s="609" t="s">
        <v>168</v>
      </c>
      <c r="C2241" s="610"/>
      <c r="D2241" s="611" t="s">
        <v>417</v>
      </c>
      <c r="E2241" s="602"/>
      <c r="F2241" s="603">
        <v>30</v>
      </c>
      <c r="G2241" s="604">
        <f>VLOOKUP(D2237,'ENSAIOS DE ORÇAMENTO'!$C$3:$L$79,3,FALSE)</f>
        <v>0</v>
      </c>
      <c r="H2241" s="605">
        <f>IF(F2241=0,0,IF(F2241&lt;=30,(0.7*F2241+1.45)*G2241,((0.7*30+1.45)+0.58*(F2241-30))*G2241))</f>
        <v>0</v>
      </c>
      <c r="I2241" s="675"/>
      <c r="J2241" s="675"/>
      <c r="K2241" s="606">
        <f t="shared" si="438"/>
        <v>0</v>
      </c>
      <c r="L2241" s="607"/>
      <c r="M2241" s="614"/>
      <c r="N2241" s="614"/>
      <c r="O2241" s="287">
        <f t="shared" si="391"/>
        <v>0</v>
      </c>
      <c r="P2241" s="287">
        <f t="shared" si="392"/>
        <v>0</v>
      </c>
      <c r="Q2241" s="288"/>
      <c r="R2241" s="315" t="str">
        <f>IF(P2237&gt;0,"xy","")</f>
        <v/>
      </c>
      <c r="S2241" s="385" t="str">
        <f t="shared" si="437"/>
        <v/>
      </c>
    </row>
    <row r="2242" spans="2:19" ht="13.5" hidden="1" thickBot="1">
      <c r="B2242" s="609" t="s">
        <v>168</v>
      </c>
      <c r="C2242" s="610"/>
      <c r="D2242" s="611" t="s">
        <v>418</v>
      </c>
      <c r="E2242" s="602"/>
      <c r="F2242" s="603">
        <v>500</v>
      </c>
      <c r="G2242" s="604">
        <f>VLOOKUP(D2237,'ENSAIOS DE ORÇAMENTO'!$C$3:$L$79,10,FALSE)</f>
        <v>0</v>
      </c>
      <c r="H2242" s="605">
        <f>IF(F2242=0,0,IF(F2242&lt;=30,(0.7*F2242+1.45)*G2242,((0.7*30+1.45)+0.58*(F2242-30))*G2242))</f>
        <v>0</v>
      </c>
      <c r="I2242" s="675"/>
      <c r="J2242" s="675"/>
      <c r="K2242" s="606">
        <f t="shared" si="438"/>
        <v>0</v>
      </c>
      <c r="L2242" s="607"/>
      <c r="M2242" s="614"/>
      <c r="N2242" s="614"/>
      <c r="O2242" s="287">
        <f t="shared" si="391"/>
        <v>0</v>
      </c>
      <c r="P2242" s="287">
        <f t="shared" si="392"/>
        <v>0</v>
      </c>
      <c r="Q2242" s="288"/>
      <c r="R2242" s="315" t="str">
        <f>IF(P2237&gt;0,"xy","")</f>
        <v/>
      </c>
      <c r="S2242" s="385" t="str">
        <f t="shared" si="437"/>
        <v/>
      </c>
    </row>
    <row r="2243" spans="2:19" ht="13.5" hidden="1" thickBot="1">
      <c r="B2243" s="609" t="s">
        <v>34</v>
      </c>
      <c r="C2243" s="610" t="s">
        <v>212</v>
      </c>
      <c r="D2243" s="611" t="s">
        <v>112</v>
      </c>
      <c r="E2243" s="602"/>
      <c r="F2243" s="603"/>
      <c r="G2243" s="604"/>
      <c r="H2243" s="605">
        <f>SUM(H2244:H2248)</f>
        <v>230.81718491000001</v>
      </c>
      <c r="I2243" s="675">
        <f>VLOOKUP(D2243,'ENSAIOS DE ORÇAMENTO'!$C$3:$L$79,8,FALSE)</f>
        <v>3297.2974020000001</v>
      </c>
      <c r="J2243" s="675">
        <f t="shared" ref="J2243" si="446">IF(ISBLANK(I2243),"",SUM(H2243:I2243))</f>
        <v>3528.1145869100001</v>
      </c>
      <c r="K2243" s="606">
        <f t="shared" si="438"/>
        <v>4281.37</v>
      </c>
      <c r="L2243" s="607" t="s">
        <v>21</v>
      </c>
      <c r="M2243" s="30"/>
      <c r="N2243" s="30"/>
      <c r="O2243" s="287">
        <f t="shared" si="391"/>
        <v>0</v>
      </c>
      <c r="P2243" s="287">
        <f t="shared" si="392"/>
        <v>0</v>
      </c>
      <c r="Q2243" s="288"/>
      <c r="S2243" s="385" t="str">
        <f t="shared" si="437"/>
        <v/>
      </c>
    </row>
    <row r="2244" spans="2:19" ht="13.5" hidden="1" thickBot="1">
      <c r="B2244" s="609" t="s">
        <v>168</v>
      </c>
      <c r="C2244" s="610"/>
      <c r="D2244" s="611" t="s">
        <v>218</v>
      </c>
      <c r="E2244" s="602"/>
      <c r="F2244" s="603">
        <v>500</v>
      </c>
      <c r="G2244" s="604">
        <f>VLOOKUP(D2243,'ENSAIOS DE ORÇAMENTO'!$C$3:$L$79,4,FALSE)</f>
        <v>0.38908200000000004</v>
      </c>
      <c r="H2244" s="605">
        <f>IF(F2244&lt;=30,(0.51*F2244+4.28)*G2244,((0.51*30+4.28)+0.42*(F2244-30))*G2244)</f>
        <v>84.423012360000016</v>
      </c>
      <c r="I2244" s="675"/>
      <c r="J2244" s="675"/>
      <c r="K2244" s="606">
        <f t="shared" si="438"/>
        <v>0</v>
      </c>
      <c r="L2244" s="607"/>
      <c r="M2244" s="614"/>
      <c r="N2244" s="614"/>
      <c r="O2244" s="287">
        <f t="shared" si="391"/>
        <v>0</v>
      </c>
      <c r="P2244" s="287">
        <f t="shared" si="392"/>
        <v>0</v>
      </c>
      <c r="Q2244" s="288"/>
      <c r="R2244" s="315" t="str">
        <f>IF(P2243&gt;0,"xy","")</f>
        <v/>
      </c>
      <c r="S2244" s="385" t="str">
        <f t="shared" si="437"/>
        <v/>
      </c>
    </row>
    <row r="2245" spans="2:19" ht="13.5" hidden="1" thickBot="1">
      <c r="B2245" s="609" t="s">
        <v>168</v>
      </c>
      <c r="C2245" s="610"/>
      <c r="D2245" s="611" t="s">
        <v>256</v>
      </c>
      <c r="E2245" s="602"/>
      <c r="F2245" s="603">
        <v>180</v>
      </c>
      <c r="G2245" s="604">
        <f>VLOOKUP(D2243,'ENSAIOS DE ORÇAMENTO'!$C$3:$L$79,5,FALSE)</f>
        <v>1.1452249999999999</v>
      </c>
      <c r="H2245" s="605">
        <f>IF(F2245=0,0,IF(F2245&lt;=30,(0.7*F2245+1.45)*G2245,((0.7*30+1.45)+0.58*(F2245-30))*G2245))</f>
        <v>125.34487625</v>
      </c>
      <c r="I2245" s="675"/>
      <c r="J2245" s="675"/>
      <c r="K2245" s="606">
        <f t="shared" si="438"/>
        <v>0</v>
      </c>
      <c r="L2245" s="607"/>
      <c r="M2245" s="614"/>
      <c r="N2245" s="614"/>
      <c r="O2245" s="287">
        <f t="shared" si="391"/>
        <v>0</v>
      </c>
      <c r="P2245" s="287">
        <f t="shared" si="392"/>
        <v>0</v>
      </c>
      <c r="Q2245" s="288"/>
      <c r="R2245" s="315" t="str">
        <f>IF(P2243&gt;0,"xy","")</f>
        <v/>
      </c>
      <c r="S2245" s="385" t="str">
        <f t="shared" si="437"/>
        <v/>
      </c>
    </row>
    <row r="2246" spans="2:19" ht="13.5" hidden="1" thickBot="1">
      <c r="B2246" s="609" t="s">
        <v>168</v>
      </c>
      <c r="C2246" s="610"/>
      <c r="D2246" s="611" t="s">
        <v>260</v>
      </c>
      <c r="E2246" s="602"/>
      <c r="F2246" s="603">
        <v>20</v>
      </c>
      <c r="G2246" s="604">
        <f>VLOOKUP(D2243,'ENSAIOS DE ORÇAMENTO'!$C$3:$L$79,6,FALSE)</f>
        <v>1.362414</v>
      </c>
      <c r="H2246" s="605">
        <f>IF(F2246=0,0,IF(F2246&lt;=30,(0.7*F2246+1.45)*G2246,((0.7*30+1.45)+0.58*(F2246-30))*G2246))</f>
        <v>21.049296299999998</v>
      </c>
      <c r="I2246" s="675"/>
      <c r="J2246" s="675"/>
      <c r="K2246" s="606">
        <f t="shared" si="438"/>
        <v>0</v>
      </c>
      <c r="L2246" s="607"/>
      <c r="M2246" s="614"/>
      <c r="N2246" s="614"/>
      <c r="O2246" s="287">
        <f t="shared" si="391"/>
        <v>0</v>
      </c>
      <c r="P2246" s="287">
        <f t="shared" si="392"/>
        <v>0</v>
      </c>
      <c r="Q2246" s="288"/>
      <c r="R2246" s="243" t="str">
        <f>IF(P2243&gt;0,"xy","")</f>
        <v/>
      </c>
      <c r="S2246" s="385" t="str">
        <f t="shared" si="437"/>
        <v/>
      </c>
    </row>
    <row r="2247" spans="2:19" ht="13.5" hidden="1" thickBot="1">
      <c r="B2247" s="609" t="s">
        <v>168</v>
      </c>
      <c r="C2247" s="610"/>
      <c r="D2247" s="611" t="s">
        <v>417</v>
      </c>
      <c r="E2247" s="602"/>
      <c r="F2247" s="603">
        <v>30</v>
      </c>
      <c r="G2247" s="604">
        <f>VLOOKUP(D2243,'ENSAIOS DE ORÇAMENTO'!$C$3:$L$79,3,FALSE)</f>
        <v>0</v>
      </c>
      <c r="H2247" s="605">
        <f>IF(F2247=0,0,IF(F2247&lt;=30,(0.7*F2247+1.45)*G2247,((0.7*30+1.45)+0.58*(F2247-30))*G2247))</f>
        <v>0</v>
      </c>
      <c r="I2247" s="675"/>
      <c r="J2247" s="675"/>
      <c r="K2247" s="606">
        <f t="shared" si="438"/>
        <v>0</v>
      </c>
      <c r="L2247" s="607"/>
      <c r="M2247" s="614"/>
      <c r="N2247" s="614"/>
      <c r="O2247" s="287">
        <f t="shared" si="391"/>
        <v>0</v>
      </c>
      <c r="P2247" s="287">
        <f t="shared" si="392"/>
        <v>0</v>
      </c>
      <c r="Q2247" s="288"/>
      <c r="R2247" s="315" t="str">
        <f>IF(P2243&gt;0,"xy","")</f>
        <v/>
      </c>
      <c r="S2247" s="385" t="str">
        <f t="shared" si="437"/>
        <v/>
      </c>
    </row>
    <row r="2248" spans="2:19" ht="13.5" hidden="1" thickBot="1">
      <c r="B2248" s="609" t="s">
        <v>168</v>
      </c>
      <c r="C2248" s="610"/>
      <c r="D2248" s="611" t="s">
        <v>418</v>
      </c>
      <c r="E2248" s="602"/>
      <c r="F2248" s="603">
        <v>500</v>
      </c>
      <c r="G2248" s="604">
        <f>VLOOKUP(D2243,'ENSAIOS DE ORÇAMENTO'!$C$3:$L$79,10,FALSE)</f>
        <v>0</v>
      </c>
      <c r="H2248" s="605">
        <f>IF(F2248=0,0,IF(F2248&lt;=30,(0.7*F2248+1.45)*G2248,((0.7*30+1.45)+0.58*(F2248-30))*G2248))</f>
        <v>0</v>
      </c>
      <c r="I2248" s="675"/>
      <c r="J2248" s="675"/>
      <c r="K2248" s="606">
        <f t="shared" si="438"/>
        <v>0</v>
      </c>
      <c r="L2248" s="607"/>
      <c r="M2248" s="614"/>
      <c r="N2248" s="614"/>
      <c r="O2248" s="287">
        <f t="shared" si="391"/>
        <v>0</v>
      </c>
      <c r="P2248" s="287">
        <f t="shared" si="392"/>
        <v>0</v>
      </c>
      <c r="Q2248" s="288"/>
      <c r="R2248" s="315" t="str">
        <f>IF(P2243&gt;0,"xy","")</f>
        <v/>
      </c>
      <c r="S2248" s="385" t="str">
        <f t="shared" ref="S2248:S2311" si="447">IF(R2248="x","x",IF(R2248="y","x",IF(R2248="xy","x",IF(P2248&gt;0,"x",""))))</f>
        <v/>
      </c>
    </row>
    <row r="2249" spans="2:19" ht="13.5" hidden="1" thickBot="1">
      <c r="B2249" s="609" t="s">
        <v>35</v>
      </c>
      <c r="C2249" s="610" t="s">
        <v>212</v>
      </c>
      <c r="D2249" s="611" t="s">
        <v>109</v>
      </c>
      <c r="E2249" s="602"/>
      <c r="F2249" s="603"/>
      <c r="G2249" s="604"/>
      <c r="H2249" s="605">
        <f>SUM(H2250:H2254)</f>
        <v>288.44231530999997</v>
      </c>
      <c r="I2249" s="675">
        <f>VLOOKUP(D2249,'ENSAIOS DE ORÇAMENTO'!$C$3:$L$79,8,FALSE)</f>
        <v>4031.4878019999996</v>
      </c>
      <c r="J2249" s="675">
        <f t="shared" ref="J2249" si="448">IF(ISBLANK(I2249),"",SUM(H2249:I2249))</f>
        <v>4319.9301173099993</v>
      </c>
      <c r="K2249" s="606">
        <f t="shared" ref="K2249:K2312" si="449">IF(ISBLANK(I2249),0,ROUND(J2249*(1+$F$10)*(1+$F$11*E2249),2))</f>
        <v>5242.24</v>
      </c>
      <c r="L2249" s="607" t="s">
        <v>21</v>
      </c>
      <c r="M2249" s="30"/>
      <c r="N2249" s="30"/>
      <c r="O2249" s="287">
        <f t="shared" si="391"/>
        <v>0</v>
      </c>
      <c r="P2249" s="287">
        <f t="shared" si="392"/>
        <v>0</v>
      </c>
      <c r="Q2249" s="288"/>
      <c r="S2249" s="385" t="str">
        <f t="shared" si="447"/>
        <v/>
      </c>
    </row>
    <row r="2250" spans="2:19" ht="13.5" hidden="1" thickBot="1">
      <c r="B2250" s="609" t="s">
        <v>168</v>
      </c>
      <c r="C2250" s="610"/>
      <c r="D2250" s="611" t="s">
        <v>218</v>
      </c>
      <c r="E2250" s="602"/>
      <c r="F2250" s="603">
        <v>500</v>
      </c>
      <c r="G2250" s="604">
        <f>VLOOKUP(D2249,'ENSAIOS DE ORÇAMENTO'!$C$3:$L$79,4,FALSE)</f>
        <v>0.48940199999999995</v>
      </c>
      <c r="H2250" s="605">
        <f>IF(F2250&lt;=30,(0.51*F2250+4.28)*G2250,((0.51*30+4.28)+0.42*(F2250-30))*G2250)</f>
        <v>106.19044595999999</v>
      </c>
      <c r="I2250" s="675"/>
      <c r="J2250" s="675"/>
      <c r="K2250" s="606">
        <f t="shared" si="449"/>
        <v>0</v>
      </c>
      <c r="L2250" s="607"/>
      <c r="M2250" s="614"/>
      <c r="N2250" s="614"/>
      <c r="O2250" s="287">
        <f t="shared" si="391"/>
        <v>0</v>
      </c>
      <c r="P2250" s="287">
        <f t="shared" si="392"/>
        <v>0</v>
      </c>
      <c r="Q2250" s="288"/>
      <c r="R2250" s="315" t="str">
        <f>IF(P2249&gt;0,"xy","")</f>
        <v/>
      </c>
      <c r="S2250" s="385" t="str">
        <f t="shared" si="447"/>
        <v/>
      </c>
    </row>
    <row r="2251" spans="2:19" ht="13.5" hidden="1" thickBot="1">
      <c r="B2251" s="609" t="s">
        <v>168</v>
      </c>
      <c r="C2251" s="610"/>
      <c r="D2251" s="611" t="s">
        <v>256</v>
      </c>
      <c r="E2251" s="602"/>
      <c r="F2251" s="603">
        <v>180</v>
      </c>
      <c r="G2251" s="604">
        <f>VLOOKUP(D2249,'ENSAIOS DE ORÇAMENTO'!$C$3:$L$79,5,FALSE)</f>
        <v>1.4252089999999999</v>
      </c>
      <c r="H2251" s="605">
        <f>IF(F2251=0,0,IF(F2251&lt;=30,(0.7*F2251+1.45)*G2251,((0.7*30+1.45)+0.58*(F2251-30))*G2251))</f>
        <v>155.98912504999998</v>
      </c>
      <c r="I2251" s="675"/>
      <c r="J2251" s="675"/>
      <c r="K2251" s="606">
        <f t="shared" si="449"/>
        <v>0</v>
      </c>
      <c r="L2251" s="607"/>
      <c r="M2251" s="614"/>
      <c r="N2251" s="614"/>
      <c r="O2251" s="287">
        <f t="shared" ref="O2251:O2314" si="450">IF(ISBLANK(M2251),0,ROUND(K2251*M2251,2))</f>
        <v>0</v>
      </c>
      <c r="P2251" s="287">
        <f t="shared" ref="P2251:P2314" si="451">IF(ISBLANK(N2251),0,ROUND(M2251*N2251,2))</f>
        <v>0</v>
      </c>
      <c r="Q2251" s="288"/>
      <c r="R2251" s="315" t="str">
        <f>IF(P2249&gt;0,"xy","")</f>
        <v/>
      </c>
      <c r="S2251" s="385" t="str">
        <f t="shared" si="447"/>
        <v/>
      </c>
    </row>
    <row r="2252" spans="2:19" ht="13.5" hidden="1" thickBot="1">
      <c r="B2252" s="609" t="s">
        <v>168</v>
      </c>
      <c r="C2252" s="610"/>
      <c r="D2252" s="611" t="s">
        <v>260</v>
      </c>
      <c r="E2252" s="602"/>
      <c r="F2252" s="603">
        <v>20</v>
      </c>
      <c r="G2252" s="604">
        <f>VLOOKUP(D2249,'ENSAIOS DE ORÇAMENTO'!$C$3:$L$79,6,FALSE)</f>
        <v>1.699854</v>
      </c>
      <c r="H2252" s="605">
        <f>IF(F2252=0,0,IF(F2252&lt;=30,(0.7*F2252+1.45)*G2252,((0.7*30+1.45)+0.58*(F2252-30))*G2252))</f>
        <v>26.262744299999998</v>
      </c>
      <c r="I2252" s="675"/>
      <c r="J2252" s="675"/>
      <c r="K2252" s="606">
        <f t="shared" si="449"/>
        <v>0</v>
      </c>
      <c r="L2252" s="607"/>
      <c r="M2252" s="614"/>
      <c r="N2252" s="614"/>
      <c r="O2252" s="287">
        <f t="shared" si="450"/>
        <v>0</v>
      </c>
      <c r="P2252" s="287">
        <f t="shared" si="451"/>
        <v>0</v>
      </c>
      <c r="Q2252" s="288"/>
      <c r="R2252" s="243" t="str">
        <f>IF(P2249&gt;0,"xy","")</f>
        <v/>
      </c>
      <c r="S2252" s="385" t="str">
        <f t="shared" si="447"/>
        <v/>
      </c>
    </row>
    <row r="2253" spans="2:19" ht="13.5" hidden="1" thickBot="1">
      <c r="B2253" s="609" t="s">
        <v>168</v>
      </c>
      <c r="C2253" s="610"/>
      <c r="D2253" s="611" t="s">
        <v>417</v>
      </c>
      <c r="E2253" s="602"/>
      <c r="F2253" s="603">
        <v>30</v>
      </c>
      <c r="G2253" s="604">
        <f>VLOOKUP(D2249,'ENSAIOS DE ORÇAMENTO'!$C$3:$L$79,3,FALSE)</f>
        <v>0</v>
      </c>
      <c r="H2253" s="605">
        <f>IF(F2253=0,0,IF(F2253&lt;=30,(0.7*F2253+1.45)*G2253,((0.7*30+1.45)+0.58*(F2253-30))*G2253))</f>
        <v>0</v>
      </c>
      <c r="I2253" s="675"/>
      <c r="J2253" s="675"/>
      <c r="K2253" s="606">
        <f t="shared" si="449"/>
        <v>0</v>
      </c>
      <c r="L2253" s="607"/>
      <c r="M2253" s="614"/>
      <c r="N2253" s="614"/>
      <c r="O2253" s="287">
        <f t="shared" si="450"/>
        <v>0</v>
      </c>
      <c r="P2253" s="287">
        <f t="shared" si="451"/>
        <v>0</v>
      </c>
      <c r="Q2253" s="288"/>
      <c r="R2253" s="315" t="str">
        <f>IF(P2249&gt;0,"xy","")</f>
        <v/>
      </c>
      <c r="S2253" s="385" t="str">
        <f t="shared" si="447"/>
        <v/>
      </c>
    </row>
    <row r="2254" spans="2:19" ht="13.5" hidden="1" thickBot="1">
      <c r="B2254" s="609" t="s">
        <v>168</v>
      </c>
      <c r="C2254" s="610"/>
      <c r="D2254" s="611" t="s">
        <v>418</v>
      </c>
      <c r="E2254" s="602"/>
      <c r="F2254" s="603">
        <v>500</v>
      </c>
      <c r="G2254" s="604">
        <f>VLOOKUP(D2249,'ENSAIOS DE ORÇAMENTO'!$C$3:$L$79,10,FALSE)</f>
        <v>0</v>
      </c>
      <c r="H2254" s="605">
        <f>IF(F2254=0,0,IF(F2254&lt;=30,(0.7*F2254+1.45)*G2254,((0.7*30+1.45)+0.58*(F2254-30))*G2254))</f>
        <v>0</v>
      </c>
      <c r="I2254" s="675"/>
      <c r="J2254" s="675"/>
      <c r="K2254" s="606">
        <f t="shared" si="449"/>
        <v>0</v>
      </c>
      <c r="L2254" s="607"/>
      <c r="M2254" s="614"/>
      <c r="N2254" s="614"/>
      <c r="O2254" s="287">
        <f t="shared" si="450"/>
        <v>0</v>
      </c>
      <c r="P2254" s="287">
        <f t="shared" si="451"/>
        <v>0</v>
      </c>
      <c r="Q2254" s="288"/>
      <c r="R2254" s="315" t="str">
        <f>IF(P2249&gt;0,"xy","")</f>
        <v/>
      </c>
      <c r="S2254" s="385" t="str">
        <f t="shared" si="447"/>
        <v/>
      </c>
    </row>
    <row r="2255" spans="2:19" ht="13.5" hidden="1" thickBot="1">
      <c r="B2255" s="609" t="s">
        <v>123</v>
      </c>
      <c r="C2255" s="610" t="s">
        <v>212</v>
      </c>
      <c r="D2255" s="611" t="s">
        <v>110</v>
      </c>
      <c r="E2255" s="602"/>
      <c r="F2255" s="603"/>
      <c r="G2255" s="604"/>
      <c r="H2255" s="605">
        <f>SUM(H2256:H2260)</f>
        <v>382.08315221000004</v>
      </c>
      <c r="I2255" s="675">
        <f>VLOOKUP(D2255,'ENSAIOS DE ORÇAMENTO'!$C$3:$L$79,8,FALSE)</f>
        <v>4426.3256619999993</v>
      </c>
      <c r="J2255" s="675">
        <f t="shared" ref="J2255" si="452">IF(ISBLANK(I2255),"",SUM(H2255:I2255))</f>
        <v>4808.408814209999</v>
      </c>
      <c r="K2255" s="606">
        <f t="shared" si="449"/>
        <v>5835</v>
      </c>
      <c r="L2255" s="607" t="s">
        <v>21</v>
      </c>
      <c r="M2255" s="30"/>
      <c r="N2255" s="30"/>
      <c r="O2255" s="287">
        <f t="shared" si="450"/>
        <v>0</v>
      </c>
      <c r="P2255" s="287">
        <f t="shared" si="451"/>
        <v>0</v>
      </c>
      <c r="Q2255" s="288"/>
      <c r="S2255" s="385" t="str">
        <f t="shared" si="447"/>
        <v/>
      </c>
    </row>
    <row r="2256" spans="2:19" ht="13.5" hidden="1" thickBot="1">
      <c r="B2256" s="609" t="s">
        <v>168</v>
      </c>
      <c r="C2256" s="610"/>
      <c r="D2256" s="611" t="s">
        <v>218</v>
      </c>
      <c r="E2256" s="602"/>
      <c r="F2256" s="603">
        <v>500</v>
      </c>
      <c r="G2256" s="604">
        <f>VLOOKUP(D2255,'ENSAIOS DE ORÇAMENTO'!$C$3:$L$79,4,FALSE)</f>
        <v>0.65242199999999995</v>
      </c>
      <c r="H2256" s="605">
        <f>IF(F2256&lt;=30,(0.51*F2256+4.28)*G2256,((0.51*30+4.28)+0.42*(F2256-30))*G2256)</f>
        <v>141.56252556000001</v>
      </c>
      <c r="I2256" s="675"/>
      <c r="J2256" s="675"/>
      <c r="K2256" s="606">
        <f t="shared" si="449"/>
        <v>0</v>
      </c>
      <c r="L2256" s="607"/>
      <c r="M2256" s="614"/>
      <c r="N2256" s="614"/>
      <c r="O2256" s="287">
        <f t="shared" si="450"/>
        <v>0</v>
      </c>
      <c r="P2256" s="287">
        <f t="shared" si="451"/>
        <v>0</v>
      </c>
      <c r="Q2256" s="288"/>
      <c r="R2256" s="315" t="str">
        <f>IF(P2255&gt;0,"xy","")</f>
        <v/>
      </c>
      <c r="S2256" s="385" t="str">
        <f t="shared" si="447"/>
        <v/>
      </c>
    </row>
    <row r="2257" spans="2:19" ht="13.5" hidden="1" thickBot="1">
      <c r="B2257" s="609" t="s">
        <v>168</v>
      </c>
      <c r="C2257" s="610"/>
      <c r="D2257" s="611" t="s">
        <v>256</v>
      </c>
      <c r="E2257" s="602"/>
      <c r="F2257" s="603">
        <v>180</v>
      </c>
      <c r="G2257" s="604">
        <f>VLOOKUP(D2255,'ENSAIOS DE ORÇAMENTO'!$C$3:$L$79,5,FALSE)</f>
        <v>1.8801829999999999</v>
      </c>
      <c r="H2257" s="605">
        <f>IF(F2257=0,0,IF(F2257&lt;=30,(0.7*F2257+1.45)*G2257,((0.7*30+1.45)+0.58*(F2257-30))*G2257))</f>
        <v>205.78602935000001</v>
      </c>
      <c r="I2257" s="675"/>
      <c r="J2257" s="675"/>
      <c r="K2257" s="606">
        <f t="shared" si="449"/>
        <v>0</v>
      </c>
      <c r="L2257" s="607"/>
      <c r="M2257" s="614"/>
      <c r="N2257" s="614"/>
      <c r="O2257" s="287">
        <f t="shared" si="450"/>
        <v>0</v>
      </c>
      <c r="P2257" s="287">
        <f t="shared" si="451"/>
        <v>0</v>
      </c>
      <c r="Q2257" s="288"/>
      <c r="R2257" s="315" t="str">
        <f>IF(P2255&gt;0,"xy","")</f>
        <v/>
      </c>
      <c r="S2257" s="385" t="str">
        <f t="shared" si="447"/>
        <v/>
      </c>
    </row>
    <row r="2258" spans="2:19" ht="13.5" hidden="1" thickBot="1">
      <c r="B2258" s="609" t="s">
        <v>168</v>
      </c>
      <c r="C2258" s="610"/>
      <c r="D2258" s="611" t="s">
        <v>260</v>
      </c>
      <c r="E2258" s="602"/>
      <c r="F2258" s="603">
        <v>20</v>
      </c>
      <c r="G2258" s="604">
        <f>VLOOKUP(D2255,'ENSAIOS DE ORÇAMENTO'!$C$3:$L$79,6,FALSE)</f>
        <v>2.2481940000000002</v>
      </c>
      <c r="H2258" s="605">
        <f>IF(F2258=0,0,IF(F2258&lt;=30,(0.7*F2258+1.45)*G2258,((0.7*30+1.45)+0.58*(F2258-30))*G2258))</f>
        <v>34.734597300000004</v>
      </c>
      <c r="I2258" s="675"/>
      <c r="J2258" s="675"/>
      <c r="K2258" s="606">
        <f t="shared" si="449"/>
        <v>0</v>
      </c>
      <c r="L2258" s="607"/>
      <c r="M2258" s="614"/>
      <c r="N2258" s="614"/>
      <c r="O2258" s="287">
        <f t="shared" si="450"/>
        <v>0</v>
      </c>
      <c r="P2258" s="287">
        <f t="shared" si="451"/>
        <v>0</v>
      </c>
      <c r="Q2258" s="288"/>
      <c r="R2258" s="243" t="str">
        <f>IF(P2255&gt;0,"xy","")</f>
        <v/>
      </c>
      <c r="S2258" s="385" t="str">
        <f t="shared" si="447"/>
        <v/>
      </c>
    </row>
    <row r="2259" spans="2:19" ht="13.5" hidden="1" thickBot="1">
      <c r="B2259" s="609" t="s">
        <v>168</v>
      </c>
      <c r="C2259" s="610"/>
      <c r="D2259" s="611" t="s">
        <v>417</v>
      </c>
      <c r="E2259" s="602"/>
      <c r="F2259" s="603">
        <v>30</v>
      </c>
      <c r="G2259" s="604">
        <f>VLOOKUP(D2255,'ENSAIOS DE ORÇAMENTO'!$C$3:$L$79,3,FALSE)</f>
        <v>0</v>
      </c>
      <c r="H2259" s="605">
        <f>IF(F2259=0,0,IF(F2259&lt;=30,(0.7*F2259+1.45)*G2259,((0.7*30+1.45)+0.58*(F2259-30))*G2259))</f>
        <v>0</v>
      </c>
      <c r="I2259" s="675"/>
      <c r="J2259" s="675"/>
      <c r="K2259" s="606">
        <f t="shared" si="449"/>
        <v>0</v>
      </c>
      <c r="L2259" s="607"/>
      <c r="M2259" s="614"/>
      <c r="N2259" s="614"/>
      <c r="O2259" s="287">
        <f t="shared" si="450"/>
        <v>0</v>
      </c>
      <c r="P2259" s="287">
        <f t="shared" si="451"/>
        <v>0</v>
      </c>
      <c r="Q2259" s="288"/>
      <c r="R2259" s="315" t="str">
        <f>IF(P2255&gt;0,"xy","")</f>
        <v/>
      </c>
      <c r="S2259" s="385" t="str">
        <f t="shared" si="447"/>
        <v/>
      </c>
    </row>
    <row r="2260" spans="2:19" ht="13.5" hidden="1" thickBot="1">
      <c r="B2260" s="609" t="s">
        <v>168</v>
      </c>
      <c r="C2260" s="610"/>
      <c r="D2260" s="611" t="s">
        <v>418</v>
      </c>
      <c r="E2260" s="602"/>
      <c r="F2260" s="603">
        <v>500</v>
      </c>
      <c r="G2260" s="604">
        <f>VLOOKUP(D2255,'ENSAIOS DE ORÇAMENTO'!$C$3:$L$79,10,FALSE)</f>
        <v>0</v>
      </c>
      <c r="H2260" s="605">
        <f>IF(F2260=0,0,IF(F2260&lt;=30,(0.7*F2260+1.45)*G2260,((0.7*30+1.45)+0.58*(F2260-30))*G2260))</f>
        <v>0</v>
      </c>
      <c r="I2260" s="675"/>
      <c r="J2260" s="675"/>
      <c r="K2260" s="606">
        <f t="shared" si="449"/>
        <v>0</v>
      </c>
      <c r="L2260" s="607"/>
      <c r="M2260" s="614"/>
      <c r="N2260" s="614"/>
      <c r="O2260" s="287">
        <f t="shared" si="450"/>
        <v>0</v>
      </c>
      <c r="P2260" s="287">
        <f t="shared" si="451"/>
        <v>0</v>
      </c>
      <c r="Q2260" s="288"/>
      <c r="R2260" s="315" t="str">
        <f>IF(P2255&gt;0,"xy","")</f>
        <v/>
      </c>
      <c r="S2260" s="385" t="str">
        <f t="shared" si="447"/>
        <v/>
      </c>
    </row>
    <row r="2261" spans="2:19" ht="13.5" hidden="1" thickBot="1">
      <c r="B2261" s="609" t="s">
        <v>124</v>
      </c>
      <c r="C2261" s="610" t="s">
        <v>212</v>
      </c>
      <c r="D2261" s="611" t="s">
        <v>111</v>
      </c>
      <c r="E2261" s="602"/>
      <c r="F2261" s="603"/>
      <c r="G2261" s="604"/>
      <c r="H2261" s="605">
        <f>SUM(H2262:H2266)</f>
        <v>475.72398910999993</v>
      </c>
      <c r="I2261" s="675">
        <f>VLOOKUP(D2261,'ENSAIOS DE ORÇAMENTO'!$C$3:$L$79,8,FALSE)</f>
        <v>5432.9844219999995</v>
      </c>
      <c r="J2261" s="675">
        <f t="shared" ref="J2261" si="453">IF(ISBLANK(I2261),"",SUM(H2261:I2261))</f>
        <v>5908.7084111099994</v>
      </c>
      <c r="K2261" s="606">
        <f t="shared" si="449"/>
        <v>7170.22</v>
      </c>
      <c r="L2261" s="607" t="s">
        <v>21</v>
      </c>
      <c r="M2261" s="30"/>
      <c r="N2261" s="30"/>
      <c r="O2261" s="287">
        <f t="shared" si="450"/>
        <v>0</v>
      </c>
      <c r="P2261" s="287">
        <f t="shared" si="451"/>
        <v>0</v>
      </c>
      <c r="Q2261" s="288"/>
      <c r="S2261" s="385" t="str">
        <f t="shared" si="447"/>
        <v/>
      </c>
    </row>
    <row r="2262" spans="2:19" ht="13.5" hidden="1" thickBot="1">
      <c r="B2262" s="609" t="s">
        <v>168</v>
      </c>
      <c r="C2262" s="610"/>
      <c r="D2262" s="611" t="s">
        <v>218</v>
      </c>
      <c r="E2262" s="602"/>
      <c r="F2262" s="603">
        <v>500</v>
      </c>
      <c r="G2262" s="604">
        <f>VLOOKUP(D2261,'ENSAIOS DE ORÇAMENTO'!$C$3:$L$79,4,FALSE)</f>
        <v>0.81544199999999989</v>
      </c>
      <c r="H2262" s="605">
        <f>IF(F2262&lt;=30,(0.51*F2262+4.28)*G2262,((0.51*30+4.28)+0.42*(F2262-30))*G2262)</f>
        <v>176.93460515999999</v>
      </c>
      <c r="I2262" s="675"/>
      <c r="J2262" s="675"/>
      <c r="K2262" s="606">
        <f t="shared" si="449"/>
        <v>0</v>
      </c>
      <c r="L2262" s="607"/>
      <c r="M2262" s="614"/>
      <c r="N2262" s="614"/>
      <c r="O2262" s="287">
        <f t="shared" si="450"/>
        <v>0</v>
      </c>
      <c r="P2262" s="287">
        <f t="shared" si="451"/>
        <v>0</v>
      </c>
      <c r="Q2262" s="288"/>
      <c r="R2262" s="315" t="str">
        <f>IF(P2261&gt;0,"xy","")</f>
        <v/>
      </c>
      <c r="S2262" s="385" t="str">
        <f t="shared" si="447"/>
        <v/>
      </c>
    </row>
    <row r="2263" spans="2:19" ht="13.5" hidden="1" thickBot="1">
      <c r="B2263" s="609" t="s">
        <v>168</v>
      </c>
      <c r="C2263" s="610"/>
      <c r="D2263" s="611" t="s">
        <v>256</v>
      </c>
      <c r="E2263" s="602"/>
      <c r="F2263" s="603">
        <v>180</v>
      </c>
      <c r="G2263" s="604">
        <f>VLOOKUP(D2261,'ENSAIOS DE ORÇAMENTO'!$C$3:$L$79,5,FALSE)</f>
        <v>2.3351569999999997</v>
      </c>
      <c r="H2263" s="605">
        <f>IF(F2263=0,0,IF(F2263&lt;=30,(0.7*F2263+1.45)*G2263,((0.7*30+1.45)+0.58*(F2263-30))*G2263))</f>
        <v>255.58293364999997</v>
      </c>
      <c r="I2263" s="675"/>
      <c r="J2263" s="675"/>
      <c r="K2263" s="606">
        <f t="shared" si="449"/>
        <v>0</v>
      </c>
      <c r="L2263" s="607"/>
      <c r="M2263" s="614"/>
      <c r="N2263" s="614"/>
      <c r="O2263" s="287">
        <f t="shared" si="450"/>
        <v>0</v>
      </c>
      <c r="P2263" s="287">
        <f t="shared" si="451"/>
        <v>0</v>
      </c>
      <c r="Q2263" s="288"/>
      <c r="R2263" s="315" t="str">
        <f>IF(P2261&gt;0,"xy","")</f>
        <v/>
      </c>
      <c r="S2263" s="385" t="str">
        <f t="shared" si="447"/>
        <v/>
      </c>
    </row>
    <row r="2264" spans="2:19" ht="13.5" hidden="1" thickBot="1">
      <c r="B2264" s="609" t="s">
        <v>168</v>
      </c>
      <c r="C2264" s="610"/>
      <c r="D2264" s="611" t="s">
        <v>260</v>
      </c>
      <c r="E2264" s="602"/>
      <c r="F2264" s="603">
        <v>20</v>
      </c>
      <c r="G2264" s="604">
        <f>VLOOKUP(D2261,'ENSAIOS DE ORÇAMENTO'!$C$3:$L$79,6,FALSE)</f>
        <v>2.7965340000000003</v>
      </c>
      <c r="H2264" s="605">
        <f>IF(F2264=0,0,IF(F2264&lt;=30,(0.7*F2264+1.45)*G2264,((0.7*30+1.45)+0.58*(F2264-30))*G2264))</f>
        <v>43.2064503</v>
      </c>
      <c r="I2264" s="675"/>
      <c r="J2264" s="675"/>
      <c r="K2264" s="606">
        <f t="shared" si="449"/>
        <v>0</v>
      </c>
      <c r="L2264" s="607"/>
      <c r="M2264" s="614"/>
      <c r="N2264" s="614"/>
      <c r="O2264" s="287">
        <f t="shared" si="450"/>
        <v>0</v>
      </c>
      <c r="P2264" s="287">
        <f t="shared" si="451"/>
        <v>0</v>
      </c>
      <c r="Q2264" s="288"/>
      <c r="R2264" s="243" t="str">
        <f>IF(P2261&gt;0,"xy","")</f>
        <v/>
      </c>
      <c r="S2264" s="385" t="str">
        <f t="shared" si="447"/>
        <v/>
      </c>
    </row>
    <row r="2265" spans="2:19" ht="13.5" hidden="1" thickBot="1">
      <c r="B2265" s="609" t="s">
        <v>168</v>
      </c>
      <c r="C2265" s="610"/>
      <c r="D2265" s="611" t="s">
        <v>417</v>
      </c>
      <c r="E2265" s="602"/>
      <c r="F2265" s="603">
        <v>30</v>
      </c>
      <c r="G2265" s="604">
        <f>VLOOKUP(D2261,'ENSAIOS DE ORÇAMENTO'!$C$3:$L$79,3,FALSE)</f>
        <v>0</v>
      </c>
      <c r="H2265" s="605">
        <f>IF(F2265=0,0,IF(F2265&lt;=30,(0.7*F2265+1.45)*G2265,((0.7*30+1.45)+0.58*(F2265-30))*G2265))</f>
        <v>0</v>
      </c>
      <c r="I2265" s="675"/>
      <c r="J2265" s="675"/>
      <c r="K2265" s="606">
        <f t="shared" si="449"/>
        <v>0</v>
      </c>
      <c r="L2265" s="607"/>
      <c r="M2265" s="614"/>
      <c r="N2265" s="614"/>
      <c r="O2265" s="287">
        <f t="shared" si="450"/>
        <v>0</v>
      </c>
      <c r="P2265" s="287">
        <f t="shared" si="451"/>
        <v>0</v>
      </c>
      <c r="Q2265" s="288"/>
      <c r="R2265" s="315" t="str">
        <f>IF(P2261&gt;0,"xy","")</f>
        <v/>
      </c>
      <c r="S2265" s="385" t="str">
        <f t="shared" si="447"/>
        <v/>
      </c>
    </row>
    <row r="2266" spans="2:19" ht="13.5" hidden="1" thickBot="1">
      <c r="B2266" s="609" t="s">
        <v>168</v>
      </c>
      <c r="C2266" s="610"/>
      <c r="D2266" s="611" t="s">
        <v>418</v>
      </c>
      <c r="E2266" s="602"/>
      <c r="F2266" s="603">
        <v>500</v>
      </c>
      <c r="G2266" s="604">
        <f>VLOOKUP(D2261,'ENSAIOS DE ORÇAMENTO'!$C$3:$L$79,10,FALSE)</f>
        <v>0</v>
      </c>
      <c r="H2266" s="605">
        <f>IF(F2266=0,0,IF(F2266&lt;=30,(0.7*F2266+1.45)*G2266,((0.7*30+1.45)+0.58*(F2266-30))*G2266))</f>
        <v>0</v>
      </c>
      <c r="I2266" s="675"/>
      <c r="J2266" s="675"/>
      <c r="K2266" s="606">
        <f t="shared" si="449"/>
        <v>0</v>
      </c>
      <c r="L2266" s="607"/>
      <c r="M2266" s="614"/>
      <c r="N2266" s="614"/>
      <c r="O2266" s="287">
        <f t="shared" si="450"/>
        <v>0</v>
      </c>
      <c r="P2266" s="287">
        <f t="shared" si="451"/>
        <v>0</v>
      </c>
      <c r="Q2266" s="288"/>
      <c r="R2266" s="315" t="str">
        <f>IF(P2261&gt;0,"xy","")</f>
        <v/>
      </c>
      <c r="S2266" s="385" t="str">
        <f t="shared" si="447"/>
        <v/>
      </c>
    </row>
    <row r="2267" spans="2:19" ht="13.5" hidden="1" thickBot="1">
      <c r="B2267" s="609" t="s">
        <v>125</v>
      </c>
      <c r="C2267" s="610" t="s">
        <v>212</v>
      </c>
      <c r="D2267" s="611" t="s">
        <v>99</v>
      </c>
      <c r="E2267" s="602"/>
      <c r="F2267" s="603"/>
      <c r="G2267" s="604"/>
      <c r="H2267" s="605">
        <f>SUM(H2268:H2272)</f>
        <v>71.457654878080007</v>
      </c>
      <c r="I2267" s="675">
        <f>VLOOKUP(D2267,'ENSAIOS DE ORÇAMENTO'!$C$3:$L$79,8,FALSE)</f>
        <v>399.28746636799997</v>
      </c>
      <c r="J2267" s="675">
        <f t="shared" ref="J2267" si="454">IF(ISBLANK(I2267),"",SUM(H2267:I2267))</f>
        <v>470.74512124607998</v>
      </c>
      <c r="K2267" s="606">
        <f t="shared" si="449"/>
        <v>571.25</v>
      </c>
      <c r="L2267" s="607" t="s">
        <v>21</v>
      </c>
      <c r="M2267" s="30"/>
      <c r="N2267" s="30"/>
      <c r="O2267" s="287">
        <f t="shared" si="450"/>
        <v>0</v>
      </c>
      <c r="P2267" s="287">
        <f t="shared" si="451"/>
        <v>0</v>
      </c>
      <c r="Q2267" s="288"/>
      <c r="S2267" s="385" t="str">
        <f t="shared" si="447"/>
        <v/>
      </c>
    </row>
    <row r="2268" spans="2:19" ht="13.5" hidden="1" thickBot="1">
      <c r="B2268" s="609" t="s">
        <v>168</v>
      </c>
      <c r="C2268" s="610"/>
      <c r="D2268" s="611" t="s">
        <v>218</v>
      </c>
      <c r="E2268" s="602"/>
      <c r="F2268" s="603">
        <v>500</v>
      </c>
      <c r="G2268" s="604">
        <f>VLOOKUP(D2267,'ENSAIOS DE ORÇAMENTO'!$C$3:$L$79,4,FALSE)</f>
        <v>9.9453823999999996E-2</v>
      </c>
      <c r="H2268" s="605">
        <f>IF(F2268&lt;=30,(0.51*F2268+4.28)*G2268,((0.51*30+4.28)+0.42*(F2268-30))*G2268)</f>
        <v>21.57949073152</v>
      </c>
      <c r="I2268" s="675"/>
      <c r="J2268" s="675"/>
      <c r="K2268" s="606">
        <f t="shared" si="449"/>
        <v>0</v>
      </c>
      <c r="L2268" s="607"/>
      <c r="M2268" s="614"/>
      <c r="N2268" s="614"/>
      <c r="O2268" s="287">
        <f t="shared" si="450"/>
        <v>0</v>
      </c>
      <c r="P2268" s="287">
        <f t="shared" si="451"/>
        <v>0</v>
      </c>
      <c r="Q2268" s="288"/>
      <c r="R2268" s="315" t="str">
        <f>IF(P2267&gt;0,"xy","")</f>
        <v/>
      </c>
      <c r="S2268" s="385" t="str">
        <f t="shared" si="447"/>
        <v/>
      </c>
    </row>
    <row r="2269" spans="2:19" ht="13.5" hidden="1" thickBot="1">
      <c r="B2269" s="609" t="s">
        <v>168</v>
      </c>
      <c r="C2269" s="610"/>
      <c r="D2269" s="611" t="s">
        <v>256</v>
      </c>
      <c r="E2269" s="602"/>
      <c r="F2269" s="603">
        <v>180</v>
      </c>
      <c r="G2269" s="604">
        <f>VLOOKUP(D2267,'ENSAIOS DE ORÇAMENTO'!$C$3:$L$79,5,FALSE)</f>
        <v>0.3618486528</v>
      </c>
      <c r="H2269" s="605">
        <f>IF(F2269=0,0,IF(F2269&lt;=30,(0.7*F2269+1.45)*G2269,((0.7*30+1.45)+0.58*(F2269-30))*G2269))</f>
        <v>39.604335048960003</v>
      </c>
      <c r="I2269" s="675"/>
      <c r="J2269" s="675"/>
      <c r="K2269" s="606">
        <f t="shared" si="449"/>
        <v>0</v>
      </c>
      <c r="L2269" s="607"/>
      <c r="M2269" s="614"/>
      <c r="N2269" s="614"/>
      <c r="O2269" s="287">
        <f t="shared" si="450"/>
        <v>0</v>
      </c>
      <c r="P2269" s="287">
        <f t="shared" si="451"/>
        <v>0</v>
      </c>
      <c r="Q2269" s="288"/>
      <c r="R2269" s="315" t="str">
        <f>IF(P2267&gt;0,"xy","")</f>
        <v/>
      </c>
      <c r="S2269" s="385" t="str">
        <f t="shared" si="447"/>
        <v/>
      </c>
    </row>
    <row r="2270" spans="2:19" ht="13.5" hidden="1" thickBot="1">
      <c r="B2270" s="609" t="s">
        <v>168</v>
      </c>
      <c r="C2270" s="610"/>
      <c r="D2270" s="611" t="s">
        <v>260</v>
      </c>
      <c r="E2270" s="602"/>
      <c r="F2270" s="603">
        <v>20</v>
      </c>
      <c r="G2270" s="604">
        <f>VLOOKUP(D2267,'ENSAIOS DE ORÇAMENTO'!$C$3:$L$79,6,FALSE)</f>
        <v>0.308576448</v>
      </c>
      <c r="H2270" s="605">
        <f>IF(F2270=0,0,IF(F2270&lt;=30,(0.7*F2270+1.45)*G2270,((0.7*30+1.45)+0.58*(F2270-30))*G2270))</f>
        <v>4.7675061215999994</v>
      </c>
      <c r="I2270" s="675"/>
      <c r="J2270" s="675"/>
      <c r="K2270" s="606">
        <f t="shared" si="449"/>
        <v>0</v>
      </c>
      <c r="L2270" s="607"/>
      <c r="M2270" s="614"/>
      <c r="N2270" s="614"/>
      <c r="O2270" s="287">
        <f t="shared" si="450"/>
        <v>0</v>
      </c>
      <c r="P2270" s="287">
        <f t="shared" si="451"/>
        <v>0</v>
      </c>
      <c r="Q2270" s="288"/>
      <c r="R2270" s="243" t="str">
        <f>IF(P2267&gt;0,"xy","")</f>
        <v/>
      </c>
      <c r="S2270" s="385" t="str">
        <f t="shared" si="447"/>
        <v/>
      </c>
    </row>
    <row r="2271" spans="2:19" ht="13.5" hidden="1" thickBot="1">
      <c r="B2271" s="609" t="s">
        <v>168</v>
      </c>
      <c r="C2271" s="610"/>
      <c r="D2271" s="611" t="s">
        <v>417</v>
      </c>
      <c r="E2271" s="602"/>
      <c r="F2271" s="603">
        <v>30</v>
      </c>
      <c r="G2271" s="604">
        <f>VLOOKUP(D2267,'ENSAIOS DE ORÇAMENTO'!$C$3:$L$79,3,FALSE)</f>
        <v>0.17055359999999997</v>
      </c>
      <c r="H2271" s="605">
        <f>IF(F2271=0,0,IF(F2271&lt;=30,(0.7*F2271+1.45)*G2271,((0.7*30+1.45)+0.58*(F2271-30))*G2271))</f>
        <v>3.8289283199999993</v>
      </c>
      <c r="I2271" s="675"/>
      <c r="J2271" s="675"/>
      <c r="K2271" s="606">
        <f t="shared" si="449"/>
        <v>0</v>
      </c>
      <c r="L2271" s="607"/>
      <c r="M2271" s="614"/>
      <c r="N2271" s="614"/>
      <c r="O2271" s="287">
        <f t="shared" si="450"/>
        <v>0</v>
      </c>
      <c r="P2271" s="287">
        <f t="shared" si="451"/>
        <v>0</v>
      </c>
      <c r="Q2271" s="288"/>
      <c r="R2271" s="315" t="str">
        <f>IF(P2267&gt;0,"xy","")</f>
        <v/>
      </c>
      <c r="S2271" s="385" t="str">
        <f t="shared" si="447"/>
        <v/>
      </c>
    </row>
    <row r="2272" spans="2:19" ht="13.5" hidden="1" thickBot="1">
      <c r="B2272" s="609" t="s">
        <v>168</v>
      </c>
      <c r="C2272" s="610"/>
      <c r="D2272" s="611" t="s">
        <v>418</v>
      </c>
      <c r="E2272" s="602"/>
      <c r="F2272" s="603">
        <v>500</v>
      </c>
      <c r="G2272" s="604">
        <f>VLOOKUP(D2267,'ENSAIOS DE ORÇAMENTO'!$C$3:$L$79,10,FALSE)</f>
        <v>5.6851199999999992E-3</v>
      </c>
      <c r="H2272" s="605">
        <f>IF(F2272=0,0,IF(F2272&lt;=30,(0.7*F2272+1.45)*G2272,((0.7*30+1.45)+0.58*(F2272-30))*G2272))</f>
        <v>1.6773946559999995</v>
      </c>
      <c r="I2272" s="675"/>
      <c r="J2272" s="675"/>
      <c r="K2272" s="606">
        <f t="shared" si="449"/>
        <v>0</v>
      </c>
      <c r="L2272" s="607"/>
      <c r="M2272" s="614"/>
      <c r="N2272" s="614"/>
      <c r="O2272" s="287">
        <f t="shared" si="450"/>
        <v>0</v>
      </c>
      <c r="P2272" s="287">
        <f t="shared" si="451"/>
        <v>0</v>
      </c>
      <c r="Q2272" s="288"/>
      <c r="R2272" s="315" t="str">
        <f>IF(P2267&gt;0,"xy","")</f>
        <v/>
      </c>
      <c r="S2272" s="385" t="str">
        <f t="shared" si="447"/>
        <v/>
      </c>
    </row>
    <row r="2273" spans="2:19" ht="13.5" hidden="1" thickBot="1">
      <c r="B2273" s="609" t="s">
        <v>36</v>
      </c>
      <c r="C2273" s="610" t="s">
        <v>212</v>
      </c>
      <c r="D2273" s="611" t="s">
        <v>100</v>
      </c>
      <c r="E2273" s="602"/>
      <c r="F2273" s="603"/>
      <c r="G2273" s="604"/>
      <c r="H2273" s="605">
        <f>SUM(H2274:H2278)</f>
        <v>105.5273591464</v>
      </c>
      <c r="I2273" s="675">
        <f>VLOOKUP(D2273,'ENSAIOS DE ORÇAMENTO'!$C$3:$L$79,8,FALSE)</f>
        <v>607.73563376000004</v>
      </c>
      <c r="J2273" s="675">
        <f t="shared" ref="J2273" si="455">IF(ISBLANK(I2273),"",SUM(H2273:I2273))</f>
        <v>713.26299290640009</v>
      </c>
      <c r="K2273" s="606">
        <f t="shared" si="449"/>
        <v>865.54</v>
      </c>
      <c r="L2273" s="607" t="s">
        <v>21</v>
      </c>
      <c r="M2273" s="30"/>
      <c r="N2273" s="30"/>
      <c r="O2273" s="287">
        <f t="shared" si="450"/>
        <v>0</v>
      </c>
      <c r="P2273" s="287">
        <f t="shared" si="451"/>
        <v>0</v>
      </c>
      <c r="Q2273" s="288"/>
      <c r="S2273" s="385" t="str">
        <f t="shared" si="447"/>
        <v/>
      </c>
    </row>
    <row r="2274" spans="2:19" ht="13.5" hidden="1" thickBot="1">
      <c r="B2274" s="609" t="s">
        <v>168</v>
      </c>
      <c r="C2274" s="610"/>
      <c r="D2274" s="611" t="s">
        <v>218</v>
      </c>
      <c r="E2274" s="602"/>
      <c r="F2274" s="603">
        <v>500</v>
      </c>
      <c r="G2274" s="604">
        <f>VLOOKUP(D2273,'ENSAIOS DE ORÇAMENTO'!$C$3:$L$79,4,FALSE)</f>
        <v>0.14735024000000002</v>
      </c>
      <c r="H2274" s="605">
        <f>IF(F2274&lt;=30,(0.51*F2274+4.28)*G2274,((0.51*30+4.28)+0.42*(F2274-30))*G2274)</f>
        <v>31.972055075200007</v>
      </c>
      <c r="I2274" s="675"/>
      <c r="J2274" s="675"/>
      <c r="K2274" s="606">
        <f t="shared" si="449"/>
        <v>0</v>
      </c>
      <c r="L2274" s="607"/>
      <c r="M2274" s="614"/>
      <c r="N2274" s="614"/>
      <c r="O2274" s="287">
        <f t="shared" si="450"/>
        <v>0</v>
      </c>
      <c r="P2274" s="287">
        <f t="shared" si="451"/>
        <v>0</v>
      </c>
      <c r="Q2274" s="288"/>
      <c r="R2274" s="315" t="str">
        <f>IF(P2273&gt;0,"xy","")</f>
        <v/>
      </c>
      <c r="S2274" s="385" t="str">
        <f t="shared" si="447"/>
        <v/>
      </c>
    </row>
    <row r="2275" spans="2:19" ht="13.5" hidden="1" thickBot="1">
      <c r="B2275" s="609" t="s">
        <v>168</v>
      </c>
      <c r="C2275" s="610"/>
      <c r="D2275" s="611" t="s">
        <v>256</v>
      </c>
      <c r="E2275" s="602"/>
      <c r="F2275" s="603">
        <v>180</v>
      </c>
      <c r="G2275" s="604">
        <f>VLOOKUP(D2273,'ENSAIOS DE ORÇAMENTO'!$C$3:$L$79,5,FALSE)</f>
        <v>0.52819569600000005</v>
      </c>
      <c r="H2275" s="605">
        <f>IF(F2275=0,0,IF(F2275&lt;=30,(0.7*F2275+1.45)*G2275,((0.7*30+1.45)+0.58*(F2275-30))*G2275))</f>
        <v>57.81101892720001</v>
      </c>
      <c r="I2275" s="675"/>
      <c r="J2275" s="675"/>
      <c r="K2275" s="606">
        <f t="shared" si="449"/>
        <v>0</v>
      </c>
      <c r="L2275" s="607"/>
      <c r="M2275" s="614"/>
      <c r="N2275" s="614"/>
      <c r="O2275" s="287">
        <f t="shared" si="450"/>
        <v>0</v>
      </c>
      <c r="P2275" s="287">
        <f t="shared" si="451"/>
        <v>0</v>
      </c>
      <c r="Q2275" s="288"/>
      <c r="R2275" s="315" t="str">
        <f>IF(P2273&gt;0,"xy","")</f>
        <v/>
      </c>
      <c r="S2275" s="385" t="str">
        <f t="shared" si="447"/>
        <v/>
      </c>
    </row>
    <row r="2276" spans="2:19" ht="13.5" hidden="1" thickBot="1">
      <c r="B2276" s="609" t="s">
        <v>168</v>
      </c>
      <c r="C2276" s="610"/>
      <c r="D2276" s="611" t="s">
        <v>260</v>
      </c>
      <c r="E2276" s="602"/>
      <c r="F2276" s="603">
        <v>20</v>
      </c>
      <c r="G2276" s="604">
        <f>VLOOKUP(D2273,'ENSAIOS DE ORÇAMENTO'!$C$3:$L$79,6,FALSE)</f>
        <v>0.43353936000000004</v>
      </c>
      <c r="H2276" s="605">
        <f>IF(F2276=0,0,IF(F2276&lt;=30,(0.7*F2276+1.45)*G2276,((0.7*30+1.45)+0.58*(F2276-30))*G2276))</f>
        <v>6.6981831120000006</v>
      </c>
      <c r="I2276" s="675"/>
      <c r="J2276" s="675"/>
      <c r="K2276" s="606">
        <f t="shared" si="449"/>
        <v>0</v>
      </c>
      <c r="L2276" s="607"/>
      <c r="M2276" s="614"/>
      <c r="N2276" s="614"/>
      <c r="O2276" s="287">
        <f t="shared" si="450"/>
        <v>0</v>
      </c>
      <c r="P2276" s="287">
        <f t="shared" si="451"/>
        <v>0</v>
      </c>
      <c r="Q2276" s="288"/>
      <c r="R2276" s="243" t="str">
        <f>IF(P2273&gt;0,"xy","")</f>
        <v/>
      </c>
      <c r="S2276" s="385" t="str">
        <f t="shared" si="447"/>
        <v/>
      </c>
    </row>
    <row r="2277" spans="2:19" ht="13.5" hidden="1" thickBot="1">
      <c r="B2277" s="609" t="s">
        <v>168</v>
      </c>
      <c r="C2277" s="610"/>
      <c r="D2277" s="611" t="s">
        <v>417</v>
      </c>
      <c r="E2277" s="602"/>
      <c r="F2277" s="603">
        <v>30</v>
      </c>
      <c r="G2277" s="604">
        <f>VLOOKUP(D2273,'ENSAIOS DE ORÇAMENTO'!$C$3:$L$79,3,FALSE)</f>
        <v>0.28019519999999998</v>
      </c>
      <c r="H2277" s="605">
        <f>IF(F2277=0,0,IF(F2277&lt;=30,(0.7*F2277+1.45)*G2277,((0.7*30+1.45)+0.58*(F2277-30))*G2277))</f>
        <v>6.2903822399999996</v>
      </c>
      <c r="I2277" s="675"/>
      <c r="J2277" s="675"/>
      <c r="K2277" s="606">
        <f t="shared" si="449"/>
        <v>0</v>
      </c>
      <c r="L2277" s="607"/>
      <c r="M2277" s="614"/>
      <c r="N2277" s="614"/>
      <c r="O2277" s="287">
        <f t="shared" si="450"/>
        <v>0</v>
      </c>
      <c r="P2277" s="287">
        <f t="shared" si="451"/>
        <v>0</v>
      </c>
      <c r="Q2277" s="288"/>
      <c r="R2277" s="315" t="str">
        <f>IF(P2273&gt;0,"xy","")</f>
        <v/>
      </c>
      <c r="S2277" s="385" t="str">
        <f t="shared" si="447"/>
        <v/>
      </c>
    </row>
    <row r="2278" spans="2:19" ht="13.5" hidden="1" thickBot="1">
      <c r="B2278" s="609" t="s">
        <v>168</v>
      </c>
      <c r="C2278" s="610"/>
      <c r="D2278" s="611" t="s">
        <v>418</v>
      </c>
      <c r="E2278" s="602"/>
      <c r="F2278" s="603">
        <v>500</v>
      </c>
      <c r="G2278" s="604">
        <f>VLOOKUP(D2273,'ENSAIOS DE ORÇAMENTO'!$C$3:$L$79,10,FALSE)</f>
        <v>9.3398400000000003E-3</v>
      </c>
      <c r="H2278" s="605">
        <f>IF(F2278=0,0,IF(F2278&lt;=30,(0.7*F2278+1.45)*G2278,((0.7*30+1.45)+0.58*(F2278-30))*G2278))</f>
        <v>2.7557197919999998</v>
      </c>
      <c r="I2278" s="675"/>
      <c r="J2278" s="675"/>
      <c r="K2278" s="606">
        <f t="shared" si="449"/>
        <v>0</v>
      </c>
      <c r="L2278" s="607"/>
      <c r="M2278" s="614"/>
      <c r="N2278" s="614"/>
      <c r="O2278" s="287">
        <f t="shared" si="450"/>
        <v>0</v>
      </c>
      <c r="P2278" s="287">
        <f t="shared" si="451"/>
        <v>0</v>
      </c>
      <c r="Q2278" s="288"/>
      <c r="R2278" s="315" t="str">
        <f>IF(P2273&gt;0,"xy","")</f>
        <v/>
      </c>
      <c r="S2278" s="385" t="str">
        <f t="shared" si="447"/>
        <v/>
      </c>
    </row>
    <row r="2279" spans="2:19" ht="13.5" hidden="1" thickBot="1">
      <c r="B2279" s="609" t="s">
        <v>37</v>
      </c>
      <c r="C2279" s="610" t="s">
        <v>212</v>
      </c>
      <c r="D2279" s="611" t="s">
        <v>73</v>
      </c>
      <c r="E2279" s="602"/>
      <c r="F2279" s="603"/>
      <c r="G2279" s="604"/>
      <c r="H2279" s="605">
        <f>SUM(H2280:H2284)</f>
        <v>193.16039501120002</v>
      </c>
      <c r="I2279" s="675">
        <f>VLOOKUP(D2279,'ENSAIOS DE ORÇAMENTO'!$C$3:$L$79,8,FALSE)</f>
        <v>1110.7009230933334</v>
      </c>
      <c r="J2279" s="675">
        <f t="shared" ref="J2279" si="456">IF(ISBLANK(I2279),"",SUM(H2279:I2279))</f>
        <v>1303.8613181045334</v>
      </c>
      <c r="K2279" s="606">
        <f t="shared" si="449"/>
        <v>1582.24</v>
      </c>
      <c r="L2279" s="607" t="s">
        <v>21</v>
      </c>
      <c r="M2279" s="30"/>
      <c r="N2279" s="30"/>
      <c r="O2279" s="287">
        <f t="shared" si="450"/>
        <v>0</v>
      </c>
      <c r="P2279" s="287">
        <f t="shared" si="451"/>
        <v>0</v>
      </c>
      <c r="Q2279" s="288"/>
      <c r="S2279" s="385" t="str">
        <f t="shared" si="447"/>
        <v/>
      </c>
    </row>
    <row r="2280" spans="2:19" ht="13.5" hidden="1" thickBot="1">
      <c r="B2280" s="609" t="s">
        <v>168</v>
      </c>
      <c r="C2280" s="610"/>
      <c r="D2280" s="611" t="s">
        <v>218</v>
      </c>
      <c r="E2280" s="602"/>
      <c r="F2280" s="603">
        <v>500</v>
      </c>
      <c r="G2280" s="604">
        <f>VLOOKUP(D2279,'ENSAIOS DE ORÇAMENTO'!$C$3:$L$79,4,FALSE)</f>
        <v>0.25613760000000002</v>
      </c>
      <c r="H2280" s="605">
        <f>IF(F2280&lt;=30,(0.51*F2280+4.28)*G2280,((0.51*30+4.28)+0.42*(F2280-30))*G2280)</f>
        <v>55.576736448000013</v>
      </c>
      <c r="I2280" s="675"/>
      <c r="J2280" s="675"/>
      <c r="K2280" s="606">
        <f t="shared" si="449"/>
        <v>0</v>
      </c>
      <c r="L2280" s="607"/>
      <c r="M2280" s="614"/>
      <c r="N2280" s="614"/>
      <c r="O2280" s="287">
        <f t="shared" si="450"/>
        <v>0</v>
      </c>
      <c r="P2280" s="287">
        <f t="shared" si="451"/>
        <v>0</v>
      </c>
      <c r="Q2280" s="288"/>
      <c r="R2280" s="315" t="str">
        <f>IF(P2279&gt;0,"xy","")</f>
        <v/>
      </c>
      <c r="S2280" s="385" t="str">
        <f t="shared" si="447"/>
        <v/>
      </c>
    </row>
    <row r="2281" spans="2:19" ht="13.5" hidden="1" thickBot="1">
      <c r="B2281" s="609" t="s">
        <v>168</v>
      </c>
      <c r="C2281" s="610"/>
      <c r="D2281" s="611" t="s">
        <v>256</v>
      </c>
      <c r="E2281" s="602"/>
      <c r="F2281" s="603">
        <v>180</v>
      </c>
      <c r="G2281" s="604">
        <f>VLOOKUP(D2279,'ENSAIOS DE ORÇAMENTO'!$C$3:$L$79,5,FALSE)</f>
        <v>0.95694329600000005</v>
      </c>
      <c r="H2281" s="605">
        <f>IF(F2281=0,0,IF(F2281&lt;=30,(0.7*F2281+1.45)*G2281,((0.7*30+1.45)+0.58*(F2281-30))*G2281))</f>
        <v>104.7374437472</v>
      </c>
      <c r="I2281" s="675"/>
      <c r="J2281" s="675"/>
      <c r="K2281" s="606">
        <f t="shared" si="449"/>
        <v>0</v>
      </c>
      <c r="L2281" s="607"/>
      <c r="M2281" s="614"/>
      <c r="N2281" s="614"/>
      <c r="O2281" s="287">
        <f t="shared" si="450"/>
        <v>0</v>
      </c>
      <c r="P2281" s="287">
        <f t="shared" si="451"/>
        <v>0</v>
      </c>
      <c r="Q2281" s="288"/>
      <c r="R2281" s="315" t="str">
        <f>IF(P2279&gt;0,"xy","")</f>
        <v/>
      </c>
      <c r="S2281" s="385" t="str">
        <f t="shared" si="447"/>
        <v/>
      </c>
    </row>
    <row r="2282" spans="2:19" ht="13.5" hidden="1" thickBot="1">
      <c r="B2282" s="609" t="s">
        <v>168</v>
      </c>
      <c r="C2282" s="610"/>
      <c r="D2282" s="611" t="s">
        <v>260</v>
      </c>
      <c r="E2282" s="602"/>
      <c r="F2282" s="603">
        <v>20</v>
      </c>
      <c r="G2282" s="604">
        <f>VLOOKUP(D2279,'ENSAIOS DE ORÇAMENTO'!$C$3:$L$79,6,FALSE)</f>
        <v>0.70038336000000012</v>
      </c>
      <c r="H2282" s="605">
        <f>IF(F2282=0,0,IF(F2282&lt;=30,(0.7*F2282+1.45)*G2282,((0.7*30+1.45)+0.58*(F2282-30))*G2282))</f>
        <v>10.820922912000002</v>
      </c>
      <c r="I2282" s="675"/>
      <c r="J2282" s="675"/>
      <c r="K2282" s="606">
        <f t="shared" si="449"/>
        <v>0</v>
      </c>
      <c r="L2282" s="607"/>
      <c r="M2282" s="614"/>
      <c r="N2282" s="614"/>
      <c r="O2282" s="287">
        <f t="shared" si="450"/>
        <v>0</v>
      </c>
      <c r="P2282" s="287">
        <f t="shared" si="451"/>
        <v>0</v>
      </c>
      <c r="Q2282" s="288"/>
      <c r="R2282" s="243" t="str">
        <f>IF(P2279&gt;0,"xy","")</f>
        <v/>
      </c>
      <c r="S2282" s="385" t="str">
        <f t="shared" si="447"/>
        <v/>
      </c>
    </row>
    <row r="2283" spans="2:19" ht="13.5" hidden="1" thickBot="1">
      <c r="B2283" s="609" t="s">
        <v>168</v>
      </c>
      <c r="C2283" s="610"/>
      <c r="D2283" s="611" t="s">
        <v>417</v>
      </c>
      <c r="E2283" s="602"/>
      <c r="F2283" s="603">
        <v>30</v>
      </c>
      <c r="G2283" s="604">
        <f>VLOOKUP(D2279,'ENSAIOS DE ORÇAMENTO'!$C$3:$L$79,3,FALSE)</f>
        <v>0.6822144</v>
      </c>
      <c r="H2283" s="605">
        <f>IF(F2283=0,0,IF(F2283&lt;=30,(0.7*F2283+1.45)*G2283,((0.7*30+1.45)+0.58*(F2283-30))*G2283))</f>
        <v>15.315713279999999</v>
      </c>
      <c r="I2283" s="675"/>
      <c r="J2283" s="675"/>
      <c r="K2283" s="606">
        <f t="shared" si="449"/>
        <v>0</v>
      </c>
      <c r="L2283" s="607"/>
      <c r="M2283" s="614"/>
      <c r="N2283" s="614"/>
      <c r="O2283" s="287">
        <f t="shared" si="450"/>
        <v>0</v>
      </c>
      <c r="P2283" s="287">
        <f t="shared" si="451"/>
        <v>0</v>
      </c>
      <c r="Q2283" s="288"/>
      <c r="R2283" s="315" t="str">
        <f>IF(P2279&gt;0,"xy","")</f>
        <v/>
      </c>
      <c r="S2283" s="385" t="str">
        <f t="shared" si="447"/>
        <v/>
      </c>
    </row>
    <row r="2284" spans="2:19" ht="13.5" hidden="1" thickBot="1">
      <c r="B2284" s="609" t="s">
        <v>168</v>
      </c>
      <c r="C2284" s="610"/>
      <c r="D2284" s="611" t="s">
        <v>418</v>
      </c>
      <c r="E2284" s="602"/>
      <c r="F2284" s="603">
        <v>500</v>
      </c>
      <c r="G2284" s="604">
        <f>VLOOKUP(D2279,'ENSAIOS DE ORÇAMENTO'!$C$3:$L$79,10,FALSE)</f>
        <v>2.274048E-2</v>
      </c>
      <c r="H2284" s="605">
        <f>IF(F2284=0,0,IF(F2284&lt;=30,(0.7*F2284+1.45)*G2284,((0.7*30+1.45)+0.58*(F2284-30))*G2284))</f>
        <v>6.7095786239999988</v>
      </c>
      <c r="I2284" s="675"/>
      <c r="J2284" s="675"/>
      <c r="K2284" s="606">
        <f t="shared" si="449"/>
        <v>0</v>
      </c>
      <c r="L2284" s="607"/>
      <c r="M2284" s="614"/>
      <c r="N2284" s="614"/>
      <c r="O2284" s="287">
        <f t="shared" si="450"/>
        <v>0</v>
      </c>
      <c r="P2284" s="287">
        <f t="shared" si="451"/>
        <v>0</v>
      </c>
      <c r="Q2284" s="288"/>
      <c r="R2284" s="315" t="str">
        <f>IF(P2279&gt;0,"xy","")</f>
        <v/>
      </c>
      <c r="S2284" s="385" t="str">
        <f t="shared" si="447"/>
        <v/>
      </c>
    </row>
    <row r="2285" spans="2:19" ht="13.5" hidden="1" thickBot="1">
      <c r="B2285" s="609" t="s">
        <v>38</v>
      </c>
      <c r="C2285" s="610" t="s">
        <v>212</v>
      </c>
      <c r="D2285" s="611" t="s">
        <v>74</v>
      </c>
      <c r="E2285" s="602"/>
      <c r="F2285" s="603"/>
      <c r="G2285" s="604"/>
      <c r="H2285" s="605">
        <f>SUM(H2286:H2290)</f>
        <v>252.91592820159997</v>
      </c>
      <c r="I2285" s="675">
        <f>VLOOKUP(D2285,'ENSAIOS DE ORÇAMENTO'!$C$3:$L$79,8,FALSE)</f>
        <v>1443.4658685866666</v>
      </c>
      <c r="J2285" s="675">
        <f t="shared" ref="J2285" si="457">IF(ISBLANK(I2285),"",SUM(H2285:I2285))</f>
        <v>1696.3817967882665</v>
      </c>
      <c r="K2285" s="606">
        <f t="shared" si="449"/>
        <v>2058.56</v>
      </c>
      <c r="L2285" s="607" t="s">
        <v>21</v>
      </c>
      <c r="M2285" s="30"/>
      <c r="N2285" s="30"/>
      <c r="O2285" s="287">
        <f t="shared" si="450"/>
        <v>0</v>
      </c>
      <c r="P2285" s="287">
        <f t="shared" si="451"/>
        <v>0</v>
      </c>
      <c r="Q2285" s="288"/>
      <c r="S2285" s="385" t="str">
        <f t="shared" si="447"/>
        <v/>
      </c>
    </row>
    <row r="2286" spans="2:19" ht="13.5" hidden="1" thickBot="1">
      <c r="B2286" s="609" t="s">
        <v>168</v>
      </c>
      <c r="C2286" s="610"/>
      <c r="D2286" s="611" t="s">
        <v>218</v>
      </c>
      <c r="E2286" s="602"/>
      <c r="F2286" s="603">
        <v>500</v>
      </c>
      <c r="G2286" s="604">
        <f>VLOOKUP(D2285,'ENSAIOS DE ORÇAMENTO'!$C$3:$L$79,4,FALSE)</f>
        <v>0.33109503999999995</v>
      </c>
      <c r="H2286" s="605">
        <f>IF(F2286&lt;=30,(0.51*F2286+4.28)*G2286,((0.51*30+4.28)+0.42*(F2286-30))*G2286)</f>
        <v>71.841001779199999</v>
      </c>
      <c r="I2286" s="675"/>
      <c r="J2286" s="675"/>
      <c r="K2286" s="606">
        <f t="shared" si="449"/>
        <v>0</v>
      </c>
      <c r="L2286" s="607"/>
      <c r="M2286" s="614"/>
      <c r="N2286" s="614"/>
      <c r="O2286" s="287">
        <f t="shared" si="450"/>
        <v>0</v>
      </c>
      <c r="P2286" s="287">
        <f t="shared" si="451"/>
        <v>0</v>
      </c>
      <c r="Q2286" s="288"/>
      <c r="R2286" s="315" t="str">
        <f>IF(P2285&gt;0,"xy","")</f>
        <v/>
      </c>
      <c r="S2286" s="385" t="str">
        <f t="shared" si="447"/>
        <v/>
      </c>
    </row>
    <row r="2287" spans="2:19" ht="13.5" hidden="1" thickBot="1">
      <c r="B2287" s="609" t="s">
        <v>168</v>
      </c>
      <c r="C2287" s="610"/>
      <c r="D2287" s="611" t="s">
        <v>256</v>
      </c>
      <c r="E2287" s="602"/>
      <c r="F2287" s="603">
        <v>180</v>
      </c>
      <c r="G2287" s="604">
        <f>VLOOKUP(D2285,'ENSAIOS DE ORÇAMENTO'!$C$3:$L$79,5,FALSE)</f>
        <v>1.2541824319999999</v>
      </c>
      <c r="H2287" s="605">
        <f>IF(F2287=0,0,IF(F2287&lt;=30,(0.7*F2287+1.45)*G2287,((0.7*30+1.45)+0.58*(F2287-30))*G2287))</f>
        <v>137.2702671824</v>
      </c>
      <c r="I2287" s="675"/>
      <c r="J2287" s="675"/>
      <c r="K2287" s="606">
        <f t="shared" si="449"/>
        <v>0</v>
      </c>
      <c r="L2287" s="607"/>
      <c r="M2287" s="614"/>
      <c r="N2287" s="614"/>
      <c r="O2287" s="287">
        <f t="shared" si="450"/>
        <v>0</v>
      </c>
      <c r="P2287" s="287">
        <f t="shared" si="451"/>
        <v>0</v>
      </c>
      <c r="Q2287" s="288"/>
      <c r="R2287" s="315" t="str">
        <f>IF(P2285&gt;0,"xy","")</f>
        <v/>
      </c>
      <c r="S2287" s="385" t="str">
        <f t="shared" si="447"/>
        <v/>
      </c>
    </row>
    <row r="2288" spans="2:19" ht="13.5" hidden="1" thickBot="1">
      <c r="B2288" s="609" t="s">
        <v>168</v>
      </c>
      <c r="C2288" s="610"/>
      <c r="D2288" s="611" t="s">
        <v>260</v>
      </c>
      <c r="E2288" s="602"/>
      <c r="F2288" s="603">
        <v>20</v>
      </c>
      <c r="G2288" s="604">
        <f>VLOOKUP(D2285,'ENSAIOS DE ORÇAMENTO'!$C$3:$L$79,6,FALSE)</f>
        <v>0.89487311999999997</v>
      </c>
      <c r="H2288" s="605">
        <f>IF(F2288=0,0,IF(F2288&lt;=30,(0.7*F2288+1.45)*G2288,((0.7*30+1.45)+0.58*(F2288-30))*G2288))</f>
        <v>13.825789703999998</v>
      </c>
      <c r="I2288" s="675"/>
      <c r="J2288" s="675"/>
      <c r="K2288" s="606">
        <f t="shared" si="449"/>
        <v>0</v>
      </c>
      <c r="L2288" s="607"/>
      <c r="M2288" s="614"/>
      <c r="N2288" s="614"/>
      <c r="O2288" s="287">
        <f t="shared" si="450"/>
        <v>0</v>
      </c>
      <c r="P2288" s="287">
        <f t="shared" si="451"/>
        <v>0</v>
      </c>
      <c r="Q2288" s="288"/>
      <c r="R2288" s="243" t="str">
        <f>IF(P2285&gt;0,"xy","")</f>
        <v/>
      </c>
      <c r="S2288" s="385" t="str">
        <f t="shared" si="447"/>
        <v/>
      </c>
    </row>
    <row r="2289" spans="2:19" ht="13.5" hidden="1" thickBot="1">
      <c r="B2289" s="609" t="s">
        <v>168</v>
      </c>
      <c r="C2289" s="610"/>
      <c r="D2289" s="611" t="s">
        <v>417</v>
      </c>
      <c r="E2289" s="602"/>
      <c r="F2289" s="603">
        <v>30</v>
      </c>
      <c r="G2289" s="604">
        <f>VLOOKUP(D2285,'ENSAIOS DE ORÇAMENTO'!$C$3:$L$79,3,FALSE)</f>
        <v>0.92856959999999988</v>
      </c>
      <c r="H2289" s="605">
        <f>IF(F2289=0,0,IF(F2289&lt;=30,(0.7*F2289+1.45)*G2289,((0.7*30+1.45)+0.58*(F2289-30))*G2289))</f>
        <v>20.846387519999997</v>
      </c>
      <c r="I2289" s="675"/>
      <c r="J2289" s="675"/>
      <c r="K2289" s="606">
        <f t="shared" si="449"/>
        <v>0</v>
      </c>
      <c r="L2289" s="607"/>
      <c r="M2289" s="614"/>
      <c r="N2289" s="614"/>
      <c r="O2289" s="287">
        <f t="shared" si="450"/>
        <v>0</v>
      </c>
      <c r="P2289" s="287">
        <f t="shared" si="451"/>
        <v>0</v>
      </c>
      <c r="Q2289" s="288"/>
      <c r="R2289" s="315" t="str">
        <f>IF(P2285&gt;0,"xy","")</f>
        <v/>
      </c>
      <c r="S2289" s="385" t="str">
        <f t="shared" si="447"/>
        <v/>
      </c>
    </row>
    <row r="2290" spans="2:19" ht="13.5" hidden="1" thickBot="1">
      <c r="B2290" s="609" t="s">
        <v>168</v>
      </c>
      <c r="C2290" s="610"/>
      <c r="D2290" s="611" t="s">
        <v>418</v>
      </c>
      <c r="E2290" s="602"/>
      <c r="F2290" s="603">
        <v>500</v>
      </c>
      <c r="G2290" s="604">
        <f>VLOOKUP(D2285,'ENSAIOS DE ORÇAMENTO'!$C$3:$L$79,10,FALSE)</f>
        <v>3.0952319999999998E-2</v>
      </c>
      <c r="H2290" s="605">
        <f>IF(F2290=0,0,IF(F2290&lt;=30,(0.7*F2290+1.45)*G2290,((0.7*30+1.45)+0.58*(F2290-30))*G2290))</f>
        <v>9.1324820159999973</v>
      </c>
      <c r="I2290" s="675"/>
      <c r="J2290" s="675"/>
      <c r="K2290" s="606">
        <f t="shared" si="449"/>
        <v>0</v>
      </c>
      <c r="L2290" s="607"/>
      <c r="M2290" s="614"/>
      <c r="N2290" s="614"/>
      <c r="O2290" s="287">
        <f t="shared" si="450"/>
        <v>0</v>
      </c>
      <c r="P2290" s="287">
        <f t="shared" si="451"/>
        <v>0</v>
      </c>
      <c r="Q2290" s="288"/>
      <c r="R2290" s="315" t="str">
        <f>IF(P2285&gt;0,"xy","")</f>
        <v/>
      </c>
      <c r="S2290" s="385" t="str">
        <f t="shared" si="447"/>
        <v/>
      </c>
    </row>
    <row r="2291" spans="2:19" ht="13.5" hidden="1" thickBot="1">
      <c r="B2291" s="609" t="s">
        <v>39</v>
      </c>
      <c r="C2291" s="610" t="s">
        <v>212</v>
      </c>
      <c r="D2291" s="611" t="s">
        <v>75</v>
      </c>
      <c r="E2291" s="602"/>
      <c r="F2291" s="603"/>
      <c r="G2291" s="604"/>
      <c r="H2291" s="605">
        <f>SUM(H2292:H2296)</f>
        <v>349.26238002416005</v>
      </c>
      <c r="I2291" s="675">
        <f>VLOOKUP(D2291,'ENSAIOS DE ORÇAMENTO'!$C$3:$L$79,8,FALSE)</f>
        <v>1983.5091594133335</v>
      </c>
      <c r="J2291" s="675">
        <f t="shared" ref="J2291" si="458">IF(ISBLANK(I2291),"",SUM(H2291:I2291))</f>
        <v>2332.7715394374936</v>
      </c>
      <c r="K2291" s="606">
        <f t="shared" si="449"/>
        <v>2830.82</v>
      </c>
      <c r="L2291" s="607" t="s">
        <v>21</v>
      </c>
      <c r="M2291" s="30"/>
      <c r="N2291" s="30"/>
      <c r="O2291" s="287">
        <f t="shared" si="450"/>
        <v>0</v>
      </c>
      <c r="P2291" s="287">
        <f t="shared" si="451"/>
        <v>0</v>
      </c>
      <c r="Q2291" s="288"/>
      <c r="S2291" s="385" t="str">
        <f t="shared" si="447"/>
        <v/>
      </c>
    </row>
    <row r="2292" spans="2:19" ht="13.5" hidden="1" thickBot="1">
      <c r="B2292" s="609" t="s">
        <v>168</v>
      </c>
      <c r="C2292" s="610"/>
      <c r="D2292" s="611" t="s">
        <v>218</v>
      </c>
      <c r="E2292" s="602"/>
      <c r="F2292" s="603">
        <v>500</v>
      </c>
      <c r="G2292" s="604">
        <f>VLOOKUP(D2291,'ENSAIOS DE ORÇAMENTO'!$C$3:$L$79,4,FALSE)</f>
        <v>0.45250179200000007</v>
      </c>
      <c r="H2292" s="605">
        <f>IF(F2292&lt;=30,(0.51*F2292+4.28)*G2292,((0.51*30+4.28)+0.42*(F2292-30))*G2292)</f>
        <v>98.18383882816002</v>
      </c>
      <c r="I2292" s="675"/>
      <c r="J2292" s="675"/>
      <c r="K2292" s="606">
        <f t="shared" si="449"/>
        <v>0</v>
      </c>
      <c r="L2292" s="607"/>
      <c r="M2292" s="614"/>
      <c r="N2292" s="614"/>
      <c r="O2292" s="287">
        <f t="shared" si="450"/>
        <v>0</v>
      </c>
      <c r="P2292" s="287">
        <f t="shared" si="451"/>
        <v>0</v>
      </c>
      <c r="Q2292" s="288"/>
      <c r="R2292" s="315" t="str">
        <f>IF(P2291&gt;0,"xy","")</f>
        <v/>
      </c>
      <c r="S2292" s="385" t="str">
        <f t="shared" si="447"/>
        <v/>
      </c>
    </row>
    <row r="2293" spans="2:19" ht="13.5" hidden="1" thickBot="1">
      <c r="B2293" s="609" t="s">
        <v>168</v>
      </c>
      <c r="C2293" s="610"/>
      <c r="D2293" s="611" t="s">
        <v>256</v>
      </c>
      <c r="E2293" s="602"/>
      <c r="F2293" s="603">
        <v>180</v>
      </c>
      <c r="G2293" s="604">
        <f>VLOOKUP(D2291,'ENSAIOS DE ORÇAMENTO'!$C$3:$L$79,5,FALSE)</f>
        <v>1.7334338080000002</v>
      </c>
      <c r="H2293" s="605">
        <f>IF(F2293=0,0,IF(F2293&lt;=30,(0.7*F2293+1.45)*G2293,((0.7*30+1.45)+0.58*(F2293-30))*G2293))</f>
        <v>189.72433028560002</v>
      </c>
      <c r="I2293" s="675"/>
      <c r="J2293" s="675"/>
      <c r="K2293" s="606">
        <f t="shared" si="449"/>
        <v>0</v>
      </c>
      <c r="L2293" s="607"/>
      <c r="M2293" s="614"/>
      <c r="N2293" s="614"/>
      <c r="O2293" s="287">
        <f t="shared" si="450"/>
        <v>0</v>
      </c>
      <c r="P2293" s="287">
        <f t="shared" si="451"/>
        <v>0</v>
      </c>
      <c r="Q2293" s="288"/>
      <c r="R2293" s="315" t="str">
        <f>IF(P2291&gt;0,"xy","")</f>
        <v/>
      </c>
      <c r="S2293" s="385" t="str">
        <f t="shared" si="447"/>
        <v/>
      </c>
    </row>
    <row r="2294" spans="2:19" ht="13.5" hidden="1" thickBot="1">
      <c r="B2294" s="609" t="s">
        <v>168</v>
      </c>
      <c r="C2294" s="610"/>
      <c r="D2294" s="611" t="s">
        <v>260</v>
      </c>
      <c r="E2294" s="602"/>
      <c r="F2294" s="603">
        <v>20</v>
      </c>
      <c r="G2294" s="604">
        <f>VLOOKUP(D2291,'ENSAIOS DE ORÇAMENTO'!$C$3:$L$79,6,FALSE)</f>
        <v>1.2150148800000002</v>
      </c>
      <c r="H2294" s="605">
        <f>IF(F2294=0,0,IF(F2294&lt;=30,(0.7*F2294+1.45)*G2294,((0.7*30+1.45)+0.58*(F2294-30))*G2294))</f>
        <v>18.771979896000001</v>
      </c>
      <c r="I2294" s="675"/>
      <c r="J2294" s="675"/>
      <c r="K2294" s="606">
        <f t="shared" si="449"/>
        <v>0</v>
      </c>
      <c r="L2294" s="607"/>
      <c r="M2294" s="614"/>
      <c r="N2294" s="614"/>
      <c r="O2294" s="287">
        <f t="shared" si="450"/>
        <v>0</v>
      </c>
      <c r="P2294" s="287">
        <f t="shared" si="451"/>
        <v>0</v>
      </c>
      <c r="Q2294" s="288"/>
      <c r="R2294" s="243" t="str">
        <f>IF(P2291&gt;0,"xy","")</f>
        <v/>
      </c>
      <c r="S2294" s="385" t="str">
        <f t="shared" si="447"/>
        <v/>
      </c>
    </row>
    <row r="2295" spans="2:19" ht="13.5" hidden="1" thickBot="1">
      <c r="B2295" s="609" t="s">
        <v>168</v>
      </c>
      <c r="C2295" s="610"/>
      <c r="D2295" s="611" t="s">
        <v>417</v>
      </c>
      <c r="E2295" s="602"/>
      <c r="F2295" s="603">
        <v>30</v>
      </c>
      <c r="G2295" s="604">
        <f>VLOOKUP(D2291,'ENSAIOS DE ORÇAMENTO'!$C$3:$L$79,3,FALSE)</f>
        <v>1.3189478400000001</v>
      </c>
      <c r="H2295" s="605">
        <f>IF(F2295=0,0,IF(F2295&lt;=30,(0.7*F2295+1.45)*G2295,((0.7*30+1.45)+0.58*(F2295-30))*G2295))</f>
        <v>29.610379008000002</v>
      </c>
      <c r="I2295" s="675"/>
      <c r="J2295" s="675"/>
      <c r="K2295" s="606">
        <f t="shared" si="449"/>
        <v>0</v>
      </c>
      <c r="L2295" s="607"/>
      <c r="M2295" s="614"/>
      <c r="N2295" s="614"/>
      <c r="O2295" s="287">
        <f t="shared" si="450"/>
        <v>0</v>
      </c>
      <c r="P2295" s="287">
        <f t="shared" si="451"/>
        <v>0</v>
      </c>
      <c r="Q2295" s="288"/>
      <c r="R2295" s="315" t="str">
        <f>IF(P2291&gt;0,"xy","")</f>
        <v/>
      </c>
      <c r="S2295" s="385" t="str">
        <f t="shared" si="447"/>
        <v/>
      </c>
    </row>
    <row r="2296" spans="2:19" ht="13.5" hidden="1" thickBot="1">
      <c r="B2296" s="609" t="s">
        <v>168</v>
      </c>
      <c r="C2296" s="610"/>
      <c r="D2296" s="611" t="s">
        <v>418</v>
      </c>
      <c r="E2296" s="602"/>
      <c r="F2296" s="603">
        <v>500</v>
      </c>
      <c r="G2296" s="604">
        <f>VLOOKUP(D2291,'ENSAIOS DE ORÇAMENTO'!$C$3:$L$79,10,FALSE)</f>
        <v>4.3964928000000007E-2</v>
      </c>
      <c r="H2296" s="605">
        <f>IF(F2296=0,0,IF(F2296&lt;=30,(0.7*F2296+1.45)*G2296,((0.7*30+1.45)+0.58*(F2296-30))*G2296))</f>
        <v>12.971852006400001</v>
      </c>
      <c r="I2296" s="675"/>
      <c r="J2296" s="675"/>
      <c r="K2296" s="606">
        <f t="shared" si="449"/>
        <v>0</v>
      </c>
      <c r="L2296" s="607"/>
      <c r="M2296" s="614"/>
      <c r="N2296" s="614"/>
      <c r="O2296" s="287">
        <f t="shared" si="450"/>
        <v>0</v>
      </c>
      <c r="P2296" s="287">
        <f t="shared" si="451"/>
        <v>0</v>
      </c>
      <c r="Q2296" s="288"/>
      <c r="R2296" s="315" t="str">
        <f>IF(P2291&gt;0,"xy","")</f>
        <v/>
      </c>
      <c r="S2296" s="385" t="str">
        <f t="shared" si="447"/>
        <v/>
      </c>
    </row>
    <row r="2297" spans="2:19" ht="13.5" hidden="1" thickBot="1">
      <c r="B2297" s="609" t="s">
        <v>126</v>
      </c>
      <c r="C2297" s="610" t="s">
        <v>212</v>
      </c>
      <c r="D2297" s="611" t="s">
        <v>427</v>
      </c>
      <c r="E2297" s="602"/>
      <c r="F2297" s="603"/>
      <c r="G2297" s="604"/>
      <c r="H2297" s="605">
        <f>SUM(H2298:H2302)</f>
        <v>79.968794735999992</v>
      </c>
      <c r="I2297" s="675">
        <f>VLOOKUP(D2297,'ENSAIOS DE ORÇAMENTO'!$C$3:$L$79,8,FALSE)</f>
        <v>423.93761941333332</v>
      </c>
      <c r="J2297" s="675">
        <f t="shared" ref="J2297" si="459">IF(ISBLANK(I2297),"",SUM(H2297:I2297))</f>
        <v>503.90641414933333</v>
      </c>
      <c r="K2297" s="606">
        <f t="shared" si="449"/>
        <v>611.49</v>
      </c>
      <c r="L2297" s="607" t="s">
        <v>21</v>
      </c>
      <c r="M2297" s="30"/>
      <c r="N2297" s="30"/>
      <c r="O2297" s="287">
        <f t="shared" si="450"/>
        <v>0</v>
      </c>
      <c r="P2297" s="287">
        <f t="shared" si="451"/>
        <v>0</v>
      </c>
      <c r="Q2297" s="288"/>
      <c r="S2297" s="385" t="str">
        <f t="shared" si="447"/>
        <v/>
      </c>
    </row>
    <row r="2298" spans="2:19" ht="13.5" hidden="1" thickBot="1">
      <c r="B2298" s="609" t="s">
        <v>168</v>
      </c>
      <c r="C2298" s="610"/>
      <c r="D2298" s="611" t="s">
        <v>218</v>
      </c>
      <c r="E2298" s="602"/>
      <c r="F2298" s="603">
        <v>500</v>
      </c>
      <c r="G2298" s="604">
        <f>VLOOKUP(D2297,'ENSAIOS DE ORÇAMENTO'!$C$3:$L$79,4,FALSE)</f>
        <v>0.1320288</v>
      </c>
      <c r="H2298" s="605">
        <f>IF(F2298&lt;=30,(0.51*F2298+4.28)*G2298,((0.51*30+4.28)+0.42*(F2298-30))*G2298)</f>
        <v>28.647609024000001</v>
      </c>
      <c r="I2298" s="675"/>
      <c r="J2298" s="675"/>
      <c r="K2298" s="606">
        <f t="shared" si="449"/>
        <v>0</v>
      </c>
      <c r="L2298" s="607"/>
      <c r="M2298" s="614"/>
      <c r="N2298" s="614"/>
      <c r="O2298" s="287">
        <f t="shared" si="450"/>
        <v>0</v>
      </c>
      <c r="P2298" s="287">
        <f t="shared" si="451"/>
        <v>0</v>
      </c>
      <c r="Q2298" s="288"/>
      <c r="R2298" s="315" t="str">
        <f>IF(P2297&gt;0,"xy","")</f>
        <v/>
      </c>
      <c r="S2298" s="385" t="str">
        <f t="shared" si="447"/>
        <v/>
      </c>
    </row>
    <row r="2299" spans="2:19" ht="13.5" hidden="1" thickBot="1">
      <c r="B2299" s="609" t="s">
        <v>168</v>
      </c>
      <c r="C2299" s="610"/>
      <c r="D2299" s="611" t="s">
        <v>256</v>
      </c>
      <c r="E2299" s="602"/>
      <c r="F2299" s="603">
        <v>180</v>
      </c>
      <c r="G2299" s="604">
        <f>VLOOKUP(D2297,'ENSAIOS DE ORÇAMENTO'!$C$3:$L$79,5,FALSE)</f>
        <v>0.40193856</v>
      </c>
      <c r="H2299" s="605">
        <f>IF(F2299=0,0,IF(F2299&lt;=30,(0.7*F2299+1.45)*G2299,((0.7*30+1.45)+0.58*(F2299-30))*G2299))</f>
        <v>43.992175392</v>
      </c>
      <c r="I2299" s="675"/>
      <c r="J2299" s="675"/>
      <c r="K2299" s="606">
        <f t="shared" si="449"/>
        <v>0</v>
      </c>
      <c r="L2299" s="607"/>
      <c r="M2299" s="614"/>
      <c r="N2299" s="614"/>
      <c r="O2299" s="287">
        <f t="shared" si="450"/>
        <v>0</v>
      </c>
      <c r="P2299" s="287">
        <f t="shared" si="451"/>
        <v>0</v>
      </c>
      <c r="Q2299" s="288"/>
      <c r="R2299" s="315" t="str">
        <f>IF(P2297&gt;0,"xy","")</f>
        <v/>
      </c>
      <c r="S2299" s="385" t="str">
        <f t="shared" si="447"/>
        <v/>
      </c>
    </row>
    <row r="2300" spans="2:19" ht="13.5" hidden="1" thickBot="1">
      <c r="B2300" s="609" t="s">
        <v>168</v>
      </c>
      <c r="C2300" s="610"/>
      <c r="D2300" s="611" t="s">
        <v>260</v>
      </c>
      <c r="E2300" s="602"/>
      <c r="F2300" s="603">
        <v>20</v>
      </c>
      <c r="G2300" s="604">
        <f>VLOOKUP(D2297,'ENSAIOS DE ORÇAMENTO'!$C$3:$L$79,6,FALSE)</f>
        <v>0.47436960000000006</v>
      </c>
      <c r="H2300" s="605">
        <f>IF(F2300=0,0,IF(F2300&lt;=30,(0.7*F2300+1.45)*G2300,((0.7*30+1.45)+0.58*(F2300-30))*G2300))</f>
        <v>7.329010320000001</v>
      </c>
      <c r="I2300" s="675"/>
      <c r="J2300" s="675"/>
      <c r="K2300" s="606">
        <f t="shared" si="449"/>
        <v>0</v>
      </c>
      <c r="L2300" s="607"/>
      <c r="M2300" s="614"/>
      <c r="N2300" s="614"/>
      <c r="O2300" s="287">
        <f t="shared" si="450"/>
        <v>0</v>
      </c>
      <c r="P2300" s="287">
        <f t="shared" si="451"/>
        <v>0</v>
      </c>
      <c r="Q2300" s="288"/>
      <c r="R2300" s="243" t="str">
        <f>IF(P2297&gt;0,"xy","")</f>
        <v/>
      </c>
      <c r="S2300" s="385" t="str">
        <f t="shared" si="447"/>
        <v/>
      </c>
    </row>
    <row r="2301" spans="2:19" ht="13.5" hidden="1" thickBot="1">
      <c r="B2301" s="609" t="s">
        <v>168</v>
      </c>
      <c r="C2301" s="610"/>
      <c r="D2301" s="611" t="s">
        <v>417</v>
      </c>
      <c r="E2301" s="602"/>
      <c r="F2301" s="603">
        <v>30</v>
      </c>
      <c r="G2301" s="604">
        <f>VLOOKUP(D2297,'ENSAIOS DE ORÇAMENTO'!$C$3:$L$79,3,FALSE)</f>
        <v>0</v>
      </c>
      <c r="H2301" s="605">
        <f>IF(F2301=0,0,IF(F2301&lt;=30,(0.7*F2301+1.45)*G2301,((0.7*30+1.45)+0.58*(F2301-30))*G2301))</f>
        <v>0</v>
      </c>
      <c r="I2301" s="675"/>
      <c r="J2301" s="675"/>
      <c r="K2301" s="606">
        <f t="shared" si="449"/>
        <v>0</v>
      </c>
      <c r="L2301" s="607"/>
      <c r="M2301" s="614"/>
      <c r="N2301" s="614"/>
      <c r="O2301" s="287">
        <f t="shared" si="450"/>
        <v>0</v>
      </c>
      <c r="P2301" s="287">
        <f t="shared" si="451"/>
        <v>0</v>
      </c>
      <c r="Q2301" s="288"/>
      <c r="R2301" s="315" t="str">
        <f>IF(P2297&gt;0,"xy","")</f>
        <v/>
      </c>
      <c r="S2301" s="385" t="str">
        <f t="shared" si="447"/>
        <v/>
      </c>
    </row>
    <row r="2302" spans="2:19" ht="13.5" hidden="1" thickBot="1">
      <c r="B2302" s="609" t="s">
        <v>168</v>
      </c>
      <c r="C2302" s="610"/>
      <c r="D2302" s="611" t="s">
        <v>418</v>
      </c>
      <c r="E2302" s="602"/>
      <c r="F2302" s="603">
        <v>500</v>
      </c>
      <c r="G2302" s="604">
        <f>VLOOKUP(D2297,'ENSAIOS DE ORÇAMENTO'!$C$3:$L$79,10,FALSE)</f>
        <v>0</v>
      </c>
      <c r="H2302" s="605">
        <f>IF(F2302=0,0,IF(F2302&lt;=30,(0.7*F2302+1.45)*G2302,((0.7*30+1.45)+0.58*(F2302-30))*G2302))</f>
        <v>0</v>
      </c>
      <c r="I2302" s="675"/>
      <c r="J2302" s="675"/>
      <c r="K2302" s="606">
        <f t="shared" si="449"/>
        <v>0</v>
      </c>
      <c r="L2302" s="607"/>
      <c r="M2302" s="614"/>
      <c r="N2302" s="614"/>
      <c r="O2302" s="287">
        <f t="shared" si="450"/>
        <v>0</v>
      </c>
      <c r="P2302" s="287">
        <f t="shared" si="451"/>
        <v>0</v>
      </c>
      <c r="Q2302" s="288"/>
      <c r="R2302" s="315" t="str">
        <f>IF(P2297&gt;0,"xy","")</f>
        <v/>
      </c>
      <c r="S2302" s="385" t="str">
        <f t="shared" si="447"/>
        <v/>
      </c>
    </row>
    <row r="2303" spans="2:19" ht="13.5" hidden="1" thickBot="1">
      <c r="B2303" s="609" t="s">
        <v>127</v>
      </c>
      <c r="C2303" s="610" t="s">
        <v>212</v>
      </c>
      <c r="D2303" s="611" t="s">
        <v>428</v>
      </c>
      <c r="E2303" s="602"/>
      <c r="F2303" s="603"/>
      <c r="G2303" s="604"/>
      <c r="H2303" s="605">
        <f>SUM(H2304:H2308)</f>
        <v>121.56693574350003</v>
      </c>
      <c r="I2303" s="675">
        <f>VLOOKUP(D2303,'ENSAIOS DE ORÇAMENTO'!$C$3:$L$79,8,FALSE)</f>
        <v>651.35712903333342</v>
      </c>
      <c r="J2303" s="675">
        <f t="shared" ref="J2303" si="460">IF(ISBLANK(I2303),"",SUM(H2303:I2303))</f>
        <v>772.92406477683346</v>
      </c>
      <c r="K2303" s="606">
        <f t="shared" si="449"/>
        <v>937.94</v>
      </c>
      <c r="L2303" s="607" t="s">
        <v>21</v>
      </c>
      <c r="M2303" s="30"/>
      <c r="N2303" s="30"/>
      <c r="O2303" s="287">
        <f t="shared" si="450"/>
        <v>0</v>
      </c>
      <c r="P2303" s="287">
        <f t="shared" si="451"/>
        <v>0</v>
      </c>
      <c r="Q2303" s="288"/>
      <c r="S2303" s="385" t="str">
        <f t="shared" si="447"/>
        <v/>
      </c>
    </row>
    <row r="2304" spans="2:19" ht="13.5" hidden="1" thickBot="1">
      <c r="B2304" s="609" t="s">
        <v>168</v>
      </c>
      <c r="C2304" s="610"/>
      <c r="D2304" s="611" t="s">
        <v>218</v>
      </c>
      <c r="E2304" s="602"/>
      <c r="F2304" s="603">
        <v>500</v>
      </c>
      <c r="G2304" s="604">
        <f>VLOOKUP(D2303,'ENSAIOS DE ORÇAMENTO'!$C$3:$L$79,4,FALSE)</f>
        <v>0.20444730000000003</v>
      </c>
      <c r="H2304" s="605">
        <f>IF(F2304&lt;=30,(0.51*F2304+4.28)*G2304,((0.51*30+4.28)+0.42*(F2304-30))*G2304)</f>
        <v>44.360975154000009</v>
      </c>
      <c r="I2304" s="675"/>
      <c r="J2304" s="675"/>
      <c r="K2304" s="606">
        <f t="shared" si="449"/>
        <v>0</v>
      </c>
      <c r="L2304" s="607"/>
      <c r="M2304" s="614"/>
      <c r="N2304" s="614"/>
      <c r="O2304" s="287">
        <f t="shared" si="450"/>
        <v>0</v>
      </c>
      <c r="P2304" s="287">
        <f t="shared" si="451"/>
        <v>0</v>
      </c>
      <c r="Q2304" s="288"/>
      <c r="R2304" s="315" t="str">
        <f>IF(P2303&gt;0,"xy","")</f>
        <v/>
      </c>
      <c r="S2304" s="385" t="str">
        <f t="shared" si="447"/>
        <v/>
      </c>
    </row>
    <row r="2305" spans="2:19" ht="13.5" hidden="1" thickBot="1">
      <c r="B2305" s="609" t="s">
        <v>168</v>
      </c>
      <c r="C2305" s="610"/>
      <c r="D2305" s="611" t="s">
        <v>256</v>
      </c>
      <c r="E2305" s="602"/>
      <c r="F2305" s="603">
        <v>180</v>
      </c>
      <c r="G2305" s="604">
        <f>VLOOKUP(D2303,'ENSAIOS DE ORÇAMENTO'!$C$3:$L$79,5,FALSE)</f>
        <v>0.60405201000000008</v>
      </c>
      <c r="H2305" s="605">
        <f>IF(F2305=0,0,IF(F2305&lt;=30,(0.7*F2305+1.45)*G2305,((0.7*30+1.45)+0.58*(F2305-30))*G2305))</f>
        <v>66.113492494500008</v>
      </c>
      <c r="I2305" s="675"/>
      <c r="J2305" s="675"/>
      <c r="K2305" s="606">
        <f t="shared" si="449"/>
        <v>0</v>
      </c>
      <c r="L2305" s="607"/>
      <c r="M2305" s="614"/>
      <c r="N2305" s="614"/>
      <c r="O2305" s="287">
        <f t="shared" si="450"/>
        <v>0</v>
      </c>
      <c r="P2305" s="287">
        <f t="shared" si="451"/>
        <v>0</v>
      </c>
      <c r="Q2305" s="288"/>
      <c r="R2305" s="315" t="str">
        <f>IF(P2303&gt;0,"xy","")</f>
        <v/>
      </c>
      <c r="S2305" s="385" t="str">
        <f t="shared" si="447"/>
        <v/>
      </c>
    </row>
    <row r="2306" spans="2:19" ht="13.5" hidden="1" thickBot="1">
      <c r="B2306" s="609" t="s">
        <v>168</v>
      </c>
      <c r="C2306" s="610"/>
      <c r="D2306" s="611" t="s">
        <v>260</v>
      </c>
      <c r="E2306" s="602"/>
      <c r="F2306" s="603">
        <v>20</v>
      </c>
      <c r="G2306" s="604">
        <f>VLOOKUP(D2303,'ENSAIOS DE ORÇAMENTO'!$C$3:$L$79,6,FALSE)</f>
        <v>0.71795910000000007</v>
      </c>
      <c r="H2306" s="605">
        <f>IF(F2306=0,0,IF(F2306&lt;=30,(0.7*F2306+1.45)*G2306,((0.7*30+1.45)+0.58*(F2306-30))*G2306))</f>
        <v>11.092468095000001</v>
      </c>
      <c r="I2306" s="675"/>
      <c r="J2306" s="675"/>
      <c r="K2306" s="606">
        <f t="shared" si="449"/>
        <v>0</v>
      </c>
      <c r="L2306" s="607"/>
      <c r="M2306" s="614"/>
      <c r="N2306" s="614"/>
      <c r="O2306" s="287">
        <f t="shared" si="450"/>
        <v>0</v>
      </c>
      <c r="P2306" s="287">
        <f t="shared" si="451"/>
        <v>0</v>
      </c>
      <c r="Q2306" s="288"/>
      <c r="R2306" s="243" t="str">
        <f>IF(P2303&gt;0,"xy","")</f>
        <v/>
      </c>
      <c r="S2306" s="385" t="str">
        <f t="shared" si="447"/>
        <v/>
      </c>
    </row>
    <row r="2307" spans="2:19" ht="13.5" hidden="1" thickBot="1">
      <c r="B2307" s="609" t="s">
        <v>168</v>
      </c>
      <c r="C2307" s="610"/>
      <c r="D2307" s="611" t="s">
        <v>417</v>
      </c>
      <c r="E2307" s="602"/>
      <c r="F2307" s="603">
        <v>30</v>
      </c>
      <c r="G2307" s="604">
        <f>VLOOKUP(D2303,'ENSAIOS DE ORÇAMENTO'!$C$3:$L$79,3,FALSE)</f>
        <v>0</v>
      </c>
      <c r="H2307" s="605">
        <f>IF(F2307=0,0,IF(F2307&lt;=30,(0.7*F2307+1.45)*G2307,((0.7*30+1.45)+0.58*(F2307-30))*G2307))</f>
        <v>0</v>
      </c>
      <c r="I2307" s="675"/>
      <c r="J2307" s="675"/>
      <c r="K2307" s="606">
        <f t="shared" si="449"/>
        <v>0</v>
      </c>
      <c r="L2307" s="607"/>
      <c r="M2307" s="614"/>
      <c r="N2307" s="614"/>
      <c r="O2307" s="287">
        <f t="shared" si="450"/>
        <v>0</v>
      </c>
      <c r="P2307" s="287">
        <f t="shared" si="451"/>
        <v>0</v>
      </c>
      <c r="Q2307" s="288"/>
      <c r="R2307" s="315" t="str">
        <f>IF(P2303&gt;0,"xy","")</f>
        <v/>
      </c>
      <c r="S2307" s="385" t="str">
        <f t="shared" si="447"/>
        <v/>
      </c>
    </row>
    <row r="2308" spans="2:19" ht="13.5" hidden="1" thickBot="1">
      <c r="B2308" s="609" t="s">
        <v>168</v>
      </c>
      <c r="C2308" s="610"/>
      <c r="D2308" s="611" t="s">
        <v>418</v>
      </c>
      <c r="E2308" s="602"/>
      <c r="F2308" s="603">
        <v>500</v>
      </c>
      <c r="G2308" s="604">
        <f>VLOOKUP(D2303,'ENSAIOS DE ORÇAMENTO'!$C$3:$L$79,10,FALSE)</f>
        <v>0</v>
      </c>
      <c r="H2308" s="605">
        <f>IF(F2308=0,0,IF(F2308&lt;=30,(0.7*F2308+1.45)*G2308,((0.7*30+1.45)+0.58*(F2308-30))*G2308))</f>
        <v>0</v>
      </c>
      <c r="I2308" s="675"/>
      <c r="J2308" s="675"/>
      <c r="K2308" s="606">
        <f t="shared" si="449"/>
        <v>0</v>
      </c>
      <c r="L2308" s="607"/>
      <c r="M2308" s="614"/>
      <c r="N2308" s="614"/>
      <c r="O2308" s="287">
        <f t="shared" si="450"/>
        <v>0</v>
      </c>
      <c r="P2308" s="287">
        <f t="shared" si="451"/>
        <v>0</v>
      </c>
      <c r="Q2308" s="288"/>
      <c r="R2308" s="315" t="str">
        <f>IF(P2303&gt;0,"xy","")</f>
        <v/>
      </c>
      <c r="S2308" s="385" t="str">
        <f t="shared" si="447"/>
        <v/>
      </c>
    </row>
    <row r="2309" spans="2:19" ht="13.5" hidden="1" thickBot="1">
      <c r="B2309" s="609" t="s">
        <v>128</v>
      </c>
      <c r="C2309" s="610" t="s">
        <v>212</v>
      </c>
      <c r="D2309" s="611" t="s">
        <v>429</v>
      </c>
      <c r="E2309" s="602"/>
      <c r="F2309" s="603"/>
      <c r="G2309" s="604"/>
      <c r="H2309" s="605">
        <f>SUM(H2310:H2314)</f>
        <v>225.66676337524996</v>
      </c>
      <c r="I2309" s="675">
        <f>VLOOKUP(D2309,'ENSAIOS DE ORÇAMENTO'!$C$3:$L$79,8,FALSE)</f>
        <v>1127.7190064166666</v>
      </c>
      <c r="J2309" s="675">
        <f t="shared" ref="J2309" si="461">IF(ISBLANK(I2309),"",SUM(H2309:I2309))</f>
        <v>1353.3857697919166</v>
      </c>
      <c r="K2309" s="606">
        <f t="shared" si="449"/>
        <v>1642.33</v>
      </c>
      <c r="L2309" s="607" t="s">
        <v>21</v>
      </c>
      <c r="M2309" s="30"/>
      <c r="N2309" s="30"/>
      <c r="O2309" s="287">
        <f t="shared" si="450"/>
        <v>0</v>
      </c>
      <c r="P2309" s="287">
        <f t="shared" si="451"/>
        <v>0</v>
      </c>
      <c r="Q2309" s="288"/>
      <c r="S2309" s="385" t="str">
        <f t="shared" si="447"/>
        <v/>
      </c>
    </row>
    <row r="2310" spans="2:19" ht="13.5" hidden="1" thickBot="1">
      <c r="B2310" s="609" t="s">
        <v>168</v>
      </c>
      <c r="C2310" s="610"/>
      <c r="D2310" s="611" t="s">
        <v>218</v>
      </c>
      <c r="E2310" s="602"/>
      <c r="F2310" s="603">
        <v>500</v>
      </c>
      <c r="G2310" s="604">
        <f>VLOOKUP(D2309,'ENSAIOS DE ORÇAMENTO'!$C$3:$L$79,4,FALSE)</f>
        <v>0.38327894999999995</v>
      </c>
      <c r="H2310" s="605">
        <f>IF(F2310&lt;=30,(0.51*F2310+4.28)*G2310,((0.51*30+4.28)+0.42*(F2310-30))*G2310)</f>
        <v>83.163866571</v>
      </c>
      <c r="I2310" s="675"/>
      <c r="J2310" s="675"/>
      <c r="K2310" s="606">
        <f t="shared" si="449"/>
        <v>0</v>
      </c>
      <c r="L2310" s="607"/>
      <c r="M2310" s="614"/>
      <c r="N2310" s="614"/>
      <c r="O2310" s="287">
        <f t="shared" si="450"/>
        <v>0</v>
      </c>
      <c r="P2310" s="287">
        <f t="shared" si="451"/>
        <v>0</v>
      </c>
      <c r="Q2310" s="288"/>
      <c r="R2310" s="315" t="str">
        <f>IF(P2309&gt;0,"xy","")</f>
        <v/>
      </c>
      <c r="S2310" s="385" t="str">
        <f t="shared" si="447"/>
        <v/>
      </c>
    </row>
    <row r="2311" spans="2:19" ht="13.5" hidden="1" thickBot="1">
      <c r="B2311" s="609" t="s">
        <v>168</v>
      </c>
      <c r="C2311" s="610"/>
      <c r="D2311" s="611" t="s">
        <v>256</v>
      </c>
      <c r="E2311" s="602"/>
      <c r="F2311" s="603">
        <v>180</v>
      </c>
      <c r="G2311" s="604">
        <f>VLOOKUP(D2309,'ENSAIOS DE ORÇAMENTO'!$C$3:$L$79,5,FALSE)</f>
        <v>1.1143076149999998</v>
      </c>
      <c r="H2311" s="605">
        <f>IF(F2311=0,0,IF(F2311&lt;=30,(0.7*F2311+1.45)*G2311,((0.7*30+1.45)+0.58*(F2311-30))*G2311))</f>
        <v>121.96096846174997</v>
      </c>
      <c r="I2311" s="675"/>
      <c r="J2311" s="675"/>
      <c r="K2311" s="606">
        <f t="shared" si="449"/>
        <v>0</v>
      </c>
      <c r="L2311" s="607"/>
      <c r="M2311" s="614"/>
      <c r="N2311" s="614"/>
      <c r="O2311" s="287">
        <f t="shared" si="450"/>
        <v>0</v>
      </c>
      <c r="P2311" s="287">
        <f t="shared" si="451"/>
        <v>0</v>
      </c>
      <c r="Q2311" s="288"/>
      <c r="R2311" s="315" t="str">
        <f>IF(P2309&gt;0,"xy","")</f>
        <v/>
      </c>
      <c r="S2311" s="385" t="str">
        <f t="shared" si="447"/>
        <v/>
      </c>
    </row>
    <row r="2312" spans="2:19" ht="13.5" hidden="1" thickBot="1">
      <c r="B2312" s="609" t="s">
        <v>168</v>
      </c>
      <c r="C2312" s="610"/>
      <c r="D2312" s="611" t="s">
        <v>260</v>
      </c>
      <c r="E2312" s="602"/>
      <c r="F2312" s="603">
        <v>20</v>
      </c>
      <c r="G2312" s="604">
        <f>VLOOKUP(D2309,'ENSAIOS DE ORÇAMENTO'!$C$3:$L$79,6,FALSE)</f>
        <v>1.3295746499999999</v>
      </c>
      <c r="H2312" s="605">
        <f>IF(F2312=0,0,IF(F2312&lt;=30,(0.7*F2312+1.45)*G2312,((0.7*30+1.45)+0.58*(F2312-30))*G2312))</f>
        <v>20.541928342499997</v>
      </c>
      <c r="I2312" s="675"/>
      <c r="J2312" s="675"/>
      <c r="K2312" s="606">
        <f t="shared" si="449"/>
        <v>0</v>
      </c>
      <c r="L2312" s="607"/>
      <c r="M2312" s="614"/>
      <c r="N2312" s="614"/>
      <c r="O2312" s="287">
        <f t="shared" si="450"/>
        <v>0</v>
      </c>
      <c r="P2312" s="287">
        <f t="shared" si="451"/>
        <v>0</v>
      </c>
      <c r="Q2312" s="288"/>
      <c r="R2312" s="243" t="str">
        <f>IF(P2309&gt;0,"xy","")</f>
        <v/>
      </c>
      <c r="S2312" s="385" t="str">
        <f t="shared" ref="S2312:S2375" si="462">IF(R2312="x","x",IF(R2312="y","x",IF(R2312="xy","x",IF(P2312&gt;0,"x",""))))</f>
        <v/>
      </c>
    </row>
    <row r="2313" spans="2:19" ht="13.5" hidden="1" thickBot="1">
      <c r="B2313" s="609" t="s">
        <v>168</v>
      </c>
      <c r="C2313" s="610"/>
      <c r="D2313" s="611" t="s">
        <v>417</v>
      </c>
      <c r="E2313" s="602"/>
      <c r="F2313" s="603">
        <v>30</v>
      </c>
      <c r="G2313" s="604">
        <f>VLOOKUP(D2309,'ENSAIOS DE ORÇAMENTO'!$C$3:$L$79,3,FALSE)</f>
        <v>0</v>
      </c>
      <c r="H2313" s="605">
        <f>IF(F2313=0,0,IF(F2313&lt;=30,(0.7*F2313+1.45)*G2313,((0.7*30+1.45)+0.58*(F2313-30))*G2313))</f>
        <v>0</v>
      </c>
      <c r="I2313" s="675"/>
      <c r="J2313" s="675"/>
      <c r="K2313" s="606">
        <f t="shared" ref="K2313:K2376" si="463">IF(ISBLANK(I2313),0,ROUND(J2313*(1+$F$10)*(1+$F$11*E2313),2))</f>
        <v>0</v>
      </c>
      <c r="L2313" s="607"/>
      <c r="M2313" s="614"/>
      <c r="N2313" s="614"/>
      <c r="O2313" s="287">
        <f t="shared" si="450"/>
        <v>0</v>
      </c>
      <c r="P2313" s="287">
        <f t="shared" si="451"/>
        <v>0</v>
      </c>
      <c r="Q2313" s="288"/>
      <c r="R2313" s="315" t="str">
        <f>IF(P2309&gt;0,"xy","")</f>
        <v/>
      </c>
      <c r="S2313" s="385" t="str">
        <f t="shared" si="462"/>
        <v/>
      </c>
    </row>
    <row r="2314" spans="2:19" ht="13.5" hidden="1" thickBot="1">
      <c r="B2314" s="609" t="s">
        <v>168</v>
      </c>
      <c r="C2314" s="610"/>
      <c r="D2314" s="611" t="s">
        <v>418</v>
      </c>
      <c r="E2314" s="602"/>
      <c r="F2314" s="603">
        <v>500</v>
      </c>
      <c r="G2314" s="604">
        <f>VLOOKUP(D2309,'ENSAIOS DE ORÇAMENTO'!$C$3:$L$79,10,FALSE)</f>
        <v>0</v>
      </c>
      <c r="H2314" s="605">
        <f>IF(F2314=0,0,IF(F2314&lt;=30,(0.7*F2314+1.45)*G2314,((0.7*30+1.45)+0.58*(F2314-30))*G2314))</f>
        <v>0</v>
      </c>
      <c r="I2314" s="675"/>
      <c r="J2314" s="675"/>
      <c r="K2314" s="606">
        <f t="shared" si="463"/>
        <v>0</v>
      </c>
      <c r="L2314" s="607"/>
      <c r="M2314" s="614"/>
      <c r="N2314" s="614"/>
      <c r="O2314" s="287">
        <f t="shared" si="450"/>
        <v>0</v>
      </c>
      <c r="P2314" s="287">
        <f t="shared" si="451"/>
        <v>0</v>
      </c>
      <c r="Q2314" s="288"/>
      <c r="R2314" s="315" t="str">
        <f>IF(P2309&gt;0,"xy","")</f>
        <v/>
      </c>
      <c r="S2314" s="385" t="str">
        <f t="shared" si="462"/>
        <v/>
      </c>
    </row>
    <row r="2315" spans="2:19" ht="13.5" hidden="1" thickBot="1">
      <c r="B2315" s="609" t="s">
        <v>129</v>
      </c>
      <c r="C2315" s="610" t="s">
        <v>212</v>
      </c>
      <c r="D2315" s="611" t="s">
        <v>430</v>
      </c>
      <c r="E2315" s="602"/>
      <c r="F2315" s="603"/>
      <c r="G2315" s="604"/>
      <c r="H2315" s="605">
        <f>SUM(H2316:H2320)</f>
        <v>331.58738930900006</v>
      </c>
      <c r="I2315" s="675">
        <f>VLOOKUP(D2315,'ENSAIOS DE ORÇAMENTO'!$C$3:$L$79,8,FALSE)</f>
        <v>1540.4644059333332</v>
      </c>
      <c r="J2315" s="675">
        <f t="shared" ref="J2315" si="464">IF(ISBLANK(I2315),"",SUM(H2315:I2315))</f>
        <v>1872.0517952423334</v>
      </c>
      <c r="K2315" s="606">
        <f t="shared" si="463"/>
        <v>2271.73</v>
      </c>
      <c r="L2315" s="607" t="s">
        <v>21</v>
      </c>
      <c r="M2315" s="30"/>
      <c r="N2315" s="30"/>
      <c r="O2315" s="287">
        <f t="shared" ref="O2315:O2378" si="465">IF(ISBLANK(M2315),0,ROUND(K2315*M2315,2))</f>
        <v>0</v>
      </c>
      <c r="P2315" s="287">
        <f t="shared" ref="P2315:P2378" si="466">IF(ISBLANK(N2315),0,ROUND(M2315*N2315,2))</f>
        <v>0</v>
      </c>
      <c r="Q2315" s="288"/>
      <c r="S2315" s="385" t="str">
        <f t="shared" si="462"/>
        <v/>
      </c>
    </row>
    <row r="2316" spans="2:19" ht="13.5" hidden="1" thickBot="1">
      <c r="B2316" s="609" t="s">
        <v>168</v>
      </c>
      <c r="C2316" s="610"/>
      <c r="D2316" s="611" t="s">
        <v>218</v>
      </c>
      <c r="E2316" s="602"/>
      <c r="F2316" s="603">
        <v>500</v>
      </c>
      <c r="G2316" s="604">
        <f>VLOOKUP(D2315,'ENSAIOS DE ORÇAMENTO'!$C$3:$L$79,4,FALSE)</f>
        <v>0.56408220000000009</v>
      </c>
      <c r="H2316" s="605">
        <f>IF(F2316&lt;=30,(0.51*F2316+4.28)*G2316,((0.51*30+4.28)+0.42*(F2316-30))*G2316)</f>
        <v>122.39455575600003</v>
      </c>
      <c r="I2316" s="675"/>
      <c r="J2316" s="675"/>
      <c r="K2316" s="606">
        <f t="shared" si="463"/>
        <v>0</v>
      </c>
      <c r="L2316" s="607"/>
      <c r="M2316" s="614"/>
      <c r="N2316" s="614"/>
      <c r="O2316" s="287">
        <f t="shared" si="465"/>
        <v>0</v>
      </c>
      <c r="P2316" s="287">
        <f t="shared" si="466"/>
        <v>0</v>
      </c>
      <c r="Q2316" s="288"/>
      <c r="R2316" s="315" t="str">
        <f>IF(P2315&gt;0,"xy","")</f>
        <v/>
      </c>
      <c r="S2316" s="385" t="str">
        <f t="shared" si="462"/>
        <v/>
      </c>
    </row>
    <row r="2317" spans="2:19" ht="13.5" hidden="1" thickBot="1">
      <c r="B2317" s="609" t="s">
        <v>168</v>
      </c>
      <c r="C2317" s="610"/>
      <c r="D2317" s="611" t="s">
        <v>256</v>
      </c>
      <c r="E2317" s="602"/>
      <c r="F2317" s="603">
        <v>180</v>
      </c>
      <c r="G2317" s="604">
        <f>VLOOKUP(D2315,'ENSAIOS DE ORÇAMENTO'!$C$3:$L$79,5,FALSE)</f>
        <v>1.6356421400000001</v>
      </c>
      <c r="H2317" s="605">
        <f>IF(F2317=0,0,IF(F2317&lt;=30,(0.7*F2317+1.45)*G2317,((0.7*30+1.45)+0.58*(F2317-30))*G2317))</f>
        <v>179.02103222300002</v>
      </c>
      <c r="I2317" s="675"/>
      <c r="J2317" s="675"/>
      <c r="K2317" s="606">
        <f t="shared" si="463"/>
        <v>0</v>
      </c>
      <c r="L2317" s="607"/>
      <c r="M2317" s="614"/>
      <c r="N2317" s="614"/>
      <c r="O2317" s="287">
        <f t="shared" si="465"/>
        <v>0</v>
      </c>
      <c r="P2317" s="287">
        <f t="shared" si="466"/>
        <v>0</v>
      </c>
      <c r="Q2317" s="288"/>
      <c r="R2317" s="315" t="str">
        <f>IF(P2315&gt;0,"xy","")</f>
        <v/>
      </c>
      <c r="S2317" s="385" t="str">
        <f t="shared" si="462"/>
        <v/>
      </c>
    </row>
    <row r="2318" spans="2:19" ht="13.5" hidden="1" thickBot="1">
      <c r="B2318" s="609" t="s">
        <v>168</v>
      </c>
      <c r="C2318" s="610"/>
      <c r="D2318" s="611" t="s">
        <v>260</v>
      </c>
      <c r="E2318" s="602"/>
      <c r="F2318" s="603">
        <v>20</v>
      </c>
      <c r="G2318" s="604">
        <f>VLOOKUP(D2315,'ENSAIOS DE ORÇAMENTO'!$C$3:$L$79,6,FALSE)</f>
        <v>1.9528674000000004</v>
      </c>
      <c r="H2318" s="605">
        <f>IF(F2318=0,0,IF(F2318&lt;=30,(0.7*F2318+1.45)*G2318,((0.7*30+1.45)+0.58*(F2318-30))*G2318))</f>
        <v>30.171801330000005</v>
      </c>
      <c r="I2318" s="675"/>
      <c r="J2318" s="675"/>
      <c r="K2318" s="606">
        <f t="shared" si="463"/>
        <v>0</v>
      </c>
      <c r="L2318" s="607"/>
      <c r="M2318" s="614"/>
      <c r="N2318" s="614"/>
      <c r="O2318" s="287">
        <f t="shared" si="465"/>
        <v>0</v>
      </c>
      <c r="P2318" s="287">
        <f t="shared" si="466"/>
        <v>0</v>
      </c>
      <c r="Q2318" s="288"/>
      <c r="R2318" s="243" t="str">
        <f>IF(P2315&gt;0,"xy","")</f>
        <v/>
      </c>
      <c r="S2318" s="385" t="str">
        <f t="shared" si="462"/>
        <v/>
      </c>
    </row>
    <row r="2319" spans="2:19" ht="13.5" hidden="1" thickBot="1">
      <c r="B2319" s="609" t="s">
        <v>168</v>
      </c>
      <c r="C2319" s="610"/>
      <c r="D2319" s="611" t="s">
        <v>417</v>
      </c>
      <c r="E2319" s="602"/>
      <c r="F2319" s="603">
        <v>30</v>
      </c>
      <c r="G2319" s="604">
        <f>VLOOKUP(D2315,'ENSAIOS DE ORÇAMENTO'!$C$3:$L$79,3,FALSE)</f>
        <v>0</v>
      </c>
      <c r="H2319" s="605">
        <f>IF(F2319=0,0,IF(F2319&lt;=30,(0.7*F2319+1.45)*G2319,((0.7*30+1.45)+0.58*(F2319-30))*G2319))</f>
        <v>0</v>
      </c>
      <c r="I2319" s="675"/>
      <c r="J2319" s="675"/>
      <c r="K2319" s="606">
        <f t="shared" si="463"/>
        <v>0</v>
      </c>
      <c r="L2319" s="607"/>
      <c r="M2319" s="614"/>
      <c r="N2319" s="614"/>
      <c r="O2319" s="287">
        <f t="shared" si="465"/>
        <v>0</v>
      </c>
      <c r="P2319" s="287">
        <f t="shared" si="466"/>
        <v>0</v>
      </c>
      <c r="Q2319" s="288"/>
      <c r="R2319" s="315" t="str">
        <f>IF(P2315&gt;0,"xy","")</f>
        <v/>
      </c>
      <c r="S2319" s="385" t="str">
        <f t="shared" si="462"/>
        <v/>
      </c>
    </row>
    <row r="2320" spans="2:19" ht="13.5" hidden="1" thickBot="1">
      <c r="B2320" s="609" t="s">
        <v>168</v>
      </c>
      <c r="C2320" s="610"/>
      <c r="D2320" s="611" t="s">
        <v>418</v>
      </c>
      <c r="E2320" s="602"/>
      <c r="F2320" s="603">
        <v>500</v>
      </c>
      <c r="G2320" s="604">
        <f>VLOOKUP(D2315,'ENSAIOS DE ORÇAMENTO'!$C$3:$L$79,10,FALSE)</f>
        <v>0</v>
      </c>
      <c r="H2320" s="605">
        <f>IF(F2320=0,0,IF(F2320&lt;=30,(0.7*F2320+1.45)*G2320,((0.7*30+1.45)+0.58*(F2320-30))*G2320))</f>
        <v>0</v>
      </c>
      <c r="I2320" s="675"/>
      <c r="J2320" s="675"/>
      <c r="K2320" s="606">
        <f t="shared" si="463"/>
        <v>0</v>
      </c>
      <c r="L2320" s="607"/>
      <c r="M2320" s="614"/>
      <c r="N2320" s="614"/>
      <c r="O2320" s="287">
        <f t="shared" si="465"/>
        <v>0</v>
      </c>
      <c r="P2320" s="287">
        <f t="shared" si="466"/>
        <v>0</v>
      </c>
      <c r="Q2320" s="288"/>
      <c r="R2320" s="315" t="str">
        <f>IF(P2315&gt;0,"xy","")</f>
        <v/>
      </c>
      <c r="S2320" s="385" t="str">
        <f t="shared" si="462"/>
        <v/>
      </c>
    </row>
    <row r="2321" spans="2:19" ht="13.5" hidden="1" thickBot="1">
      <c r="B2321" s="609" t="s">
        <v>130</v>
      </c>
      <c r="C2321" s="610" t="s">
        <v>212</v>
      </c>
      <c r="D2321" s="611" t="s">
        <v>431</v>
      </c>
      <c r="E2321" s="602"/>
      <c r="F2321" s="603"/>
      <c r="G2321" s="604"/>
      <c r="H2321" s="605">
        <f>SUM(H2322:H2326)</f>
        <v>458.65229742400004</v>
      </c>
      <c r="I2321" s="675">
        <f>VLOOKUP(D2321,'ENSAIOS DE ORÇAMENTO'!$C$3:$L$79,8,FALSE)</f>
        <v>2105.5847392000001</v>
      </c>
      <c r="J2321" s="675">
        <f t="shared" ref="J2321" si="467">IF(ISBLANK(I2321),"",SUM(H2321:I2321))</f>
        <v>2564.2370366240002</v>
      </c>
      <c r="K2321" s="606">
        <f t="shared" si="463"/>
        <v>3111.7</v>
      </c>
      <c r="L2321" s="607" t="s">
        <v>21</v>
      </c>
      <c r="M2321" s="30"/>
      <c r="N2321" s="30"/>
      <c r="O2321" s="287">
        <f t="shared" si="465"/>
        <v>0</v>
      </c>
      <c r="P2321" s="287">
        <f t="shared" si="466"/>
        <v>0</v>
      </c>
      <c r="Q2321" s="288"/>
      <c r="S2321" s="385" t="str">
        <f t="shared" si="462"/>
        <v/>
      </c>
    </row>
    <row r="2322" spans="2:19" ht="13.5" hidden="1" thickBot="1">
      <c r="B2322" s="609" t="s">
        <v>168</v>
      </c>
      <c r="C2322" s="610"/>
      <c r="D2322" s="611" t="s">
        <v>218</v>
      </c>
      <c r="E2322" s="602"/>
      <c r="F2322" s="603">
        <v>500</v>
      </c>
      <c r="G2322" s="604">
        <f>VLOOKUP(D2321,'ENSAIOS DE ORÇAMENTO'!$C$3:$L$79,4,FALSE)</f>
        <v>0.77929919999999997</v>
      </c>
      <c r="H2322" s="605">
        <f>IF(F2322&lt;=30,(0.51*F2322+4.28)*G2322,((0.51*30+4.28)+0.42*(F2322-30))*G2322)</f>
        <v>169.09234041600001</v>
      </c>
      <c r="I2322" s="675"/>
      <c r="J2322" s="675"/>
      <c r="K2322" s="606">
        <f t="shared" si="463"/>
        <v>0</v>
      </c>
      <c r="L2322" s="607"/>
      <c r="M2322" s="614"/>
      <c r="N2322" s="614"/>
      <c r="O2322" s="287">
        <f t="shared" si="465"/>
        <v>0</v>
      </c>
      <c r="P2322" s="287">
        <f t="shared" si="466"/>
        <v>0</v>
      </c>
      <c r="Q2322" s="288"/>
      <c r="R2322" s="315" t="str">
        <f>IF(P2321&gt;0,"xy","")</f>
        <v/>
      </c>
      <c r="S2322" s="385" t="str">
        <f t="shared" si="462"/>
        <v/>
      </c>
    </row>
    <row r="2323" spans="2:19" ht="13.5" hidden="1" thickBot="1">
      <c r="B2323" s="609" t="s">
        <v>168</v>
      </c>
      <c r="C2323" s="610"/>
      <c r="D2323" s="611" t="s">
        <v>256</v>
      </c>
      <c r="E2323" s="602"/>
      <c r="F2323" s="603">
        <v>180</v>
      </c>
      <c r="G2323" s="604">
        <f>VLOOKUP(D2321,'ENSAIOS DE ORÇAMENTO'!$C$3:$L$79,5,FALSE)</f>
        <v>2.26417504</v>
      </c>
      <c r="H2323" s="605">
        <f>IF(F2323=0,0,IF(F2323&lt;=30,(0.7*F2323+1.45)*G2323,((0.7*30+1.45)+0.58*(F2323-30))*G2323))</f>
        <v>247.813958128</v>
      </c>
      <c r="I2323" s="675"/>
      <c r="J2323" s="675"/>
      <c r="K2323" s="606">
        <f t="shared" si="463"/>
        <v>0</v>
      </c>
      <c r="L2323" s="607"/>
      <c r="M2323" s="614"/>
      <c r="N2323" s="614"/>
      <c r="O2323" s="287">
        <f t="shared" si="465"/>
        <v>0</v>
      </c>
      <c r="P2323" s="287">
        <f t="shared" si="466"/>
        <v>0</v>
      </c>
      <c r="Q2323" s="288"/>
      <c r="R2323" s="315" t="str">
        <f>IF(P2321&gt;0,"xy","")</f>
        <v/>
      </c>
      <c r="S2323" s="385" t="str">
        <f t="shared" si="462"/>
        <v/>
      </c>
    </row>
    <row r="2324" spans="2:19" ht="13.5" hidden="1" thickBot="1">
      <c r="B2324" s="609" t="s">
        <v>168</v>
      </c>
      <c r="C2324" s="610"/>
      <c r="D2324" s="611" t="s">
        <v>260</v>
      </c>
      <c r="E2324" s="602"/>
      <c r="F2324" s="603">
        <v>20</v>
      </c>
      <c r="G2324" s="604">
        <f>VLOOKUP(D2321,'ENSAIOS DE ORÇAMENTO'!$C$3:$L$79,6,FALSE)</f>
        <v>2.7020064000000001</v>
      </c>
      <c r="H2324" s="605">
        <f>IF(F2324=0,0,IF(F2324&lt;=30,(0.7*F2324+1.45)*G2324,((0.7*30+1.45)+0.58*(F2324-30))*G2324))</f>
        <v>41.745998880000002</v>
      </c>
      <c r="I2324" s="675"/>
      <c r="J2324" s="675"/>
      <c r="K2324" s="606">
        <f t="shared" si="463"/>
        <v>0</v>
      </c>
      <c r="L2324" s="607"/>
      <c r="M2324" s="614"/>
      <c r="N2324" s="614"/>
      <c r="O2324" s="287">
        <f t="shared" si="465"/>
        <v>0</v>
      </c>
      <c r="P2324" s="287">
        <f t="shared" si="466"/>
        <v>0</v>
      </c>
      <c r="Q2324" s="288"/>
      <c r="R2324" s="243" t="str">
        <f>IF(P2321&gt;0,"xy","")</f>
        <v/>
      </c>
      <c r="S2324" s="385" t="str">
        <f t="shared" si="462"/>
        <v/>
      </c>
    </row>
    <row r="2325" spans="2:19" ht="13.5" hidden="1" thickBot="1">
      <c r="B2325" s="609" t="s">
        <v>168</v>
      </c>
      <c r="C2325" s="610"/>
      <c r="D2325" s="611" t="s">
        <v>417</v>
      </c>
      <c r="E2325" s="602"/>
      <c r="F2325" s="603">
        <v>30</v>
      </c>
      <c r="G2325" s="604">
        <f>VLOOKUP(D2321,'ENSAIOS DE ORÇAMENTO'!$C$3:$L$79,3,FALSE)</f>
        <v>0</v>
      </c>
      <c r="H2325" s="605">
        <f>IF(F2325=0,0,IF(F2325&lt;=30,(0.7*F2325+1.45)*G2325,((0.7*30+1.45)+0.58*(F2325-30))*G2325))</f>
        <v>0</v>
      </c>
      <c r="I2325" s="675"/>
      <c r="J2325" s="675"/>
      <c r="K2325" s="606">
        <f t="shared" si="463"/>
        <v>0</v>
      </c>
      <c r="L2325" s="607"/>
      <c r="M2325" s="614"/>
      <c r="N2325" s="614"/>
      <c r="O2325" s="287">
        <f t="shared" si="465"/>
        <v>0</v>
      </c>
      <c r="P2325" s="287">
        <f t="shared" si="466"/>
        <v>0</v>
      </c>
      <c r="Q2325" s="288"/>
      <c r="R2325" s="315" t="str">
        <f>IF(P2321&gt;0,"xy","")</f>
        <v/>
      </c>
      <c r="S2325" s="385" t="str">
        <f t="shared" si="462"/>
        <v/>
      </c>
    </row>
    <row r="2326" spans="2:19" ht="13.5" hidden="1" thickBot="1">
      <c r="B2326" s="609" t="s">
        <v>168</v>
      </c>
      <c r="C2326" s="610"/>
      <c r="D2326" s="611" t="s">
        <v>418</v>
      </c>
      <c r="E2326" s="602"/>
      <c r="F2326" s="603">
        <v>500</v>
      </c>
      <c r="G2326" s="604">
        <f>VLOOKUP(D2321,'ENSAIOS DE ORÇAMENTO'!$C$3:$L$79,10,FALSE)</f>
        <v>0</v>
      </c>
      <c r="H2326" s="605">
        <f>IF(F2326=0,0,IF(F2326&lt;=30,(0.7*F2326+1.45)*G2326,((0.7*30+1.45)+0.58*(F2326-30))*G2326))</f>
        <v>0</v>
      </c>
      <c r="I2326" s="675"/>
      <c r="J2326" s="675"/>
      <c r="K2326" s="606">
        <f t="shared" si="463"/>
        <v>0</v>
      </c>
      <c r="L2326" s="607"/>
      <c r="M2326" s="614"/>
      <c r="N2326" s="614"/>
      <c r="O2326" s="287">
        <f t="shared" si="465"/>
        <v>0</v>
      </c>
      <c r="P2326" s="287">
        <f t="shared" si="466"/>
        <v>0</v>
      </c>
      <c r="Q2326" s="288"/>
      <c r="R2326" s="315" t="str">
        <f>IF(P2321&gt;0,"xy","")</f>
        <v/>
      </c>
      <c r="S2326" s="385" t="str">
        <f t="shared" si="462"/>
        <v/>
      </c>
    </row>
    <row r="2327" spans="2:19" ht="13.5" hidden="1" thickBot="1">
      <c r="B2327" s="609" t="s">
        <v>131</v>
      </c>
      <c r="C2327" s="610" t="s">
        <v>212</v>
      </c>
      <c r="D2327" s="611" t="s">
        <v>432</v>
      </c>
      <c r="E2327" s="602"/>
      <c r="F2327" s="603"/>
      <c r="G2327" s="604"/>
      <c r="H2327" s="605">
        <f>SUM(H2328:H2332)</f>
        <v>82.395116016000031</v>
      </c>
      <c r="I2327" s="675">
        <f>VLOOKUP(D2327,'ENSAIOS DE ORÇAMENTO'!$C$3:$L$79,8,FALSE)</f>
        <v>898.02175626666678</v>
      </c>
      <c r="J2327" s="675">
        <f t="shared" ref="J2327" si="468">IF(ISBLANK(I2327),"",SUM(H2327:I2327))</f>
        <v>980.41687228266687</v>
      </c>
      <c r="K2327" s="606">
        <f t="shared" si="463"/>
        <v>1189.74</v>
      </c>
      <c r="L2327" s="607" t="s">
        <v>21</v>
      </c>
      <c r="M2327" s="30"/>
      <c r="N2327" s="30"/>
      <c r="O2327" s="287">
        <f t="shared" si="465"/>
        <v>0</v>
      </c>
      <c r="P2327" s="287">
        <f t="shared" si="466"/>
        <v>0</v>
      </c>
      <c r="Q2327" s="288"/>
      <c r="S2327" s="385" t="str">
        <f t="shared" si="462"/>
        <v/>
      </c>
    </row>
    <row r="2328" spans="2:19" ht="13.5" hidden="1" thickBot="1">
      <c r="B2328" s="609" t="s">
        <v>168</v>
      </c>
      <c r="C2328" s="610"/>
      <c r="D2328" s="611" t="s">
        <v>218</v>
      </c>
      <c r="E2328" s="602"/>
      <c r="F2328" s="603">
        <v>500</v>
      </c>
      <c r="G2328" s="604">
        <f>VLOOKUP(D2327,'ENSAIOS DE ORÇAMENTO'!$C$3:$L$79,4,FALSE)</f>
        <v>0.13625280000000003</v>
      </c>
      <c r="H2328" s="605">
        <f>IF(F2328&lt;=30,(0.51*F2328+4.28)*G2328,((0.51*30+4.28)+0.42*(F2328-30))*G2328)</f>
        <v>29.56413254400001</v>
      </c>
      <c r="I2328" s="675"/>
      <c r="J2328" s="675"/>
      <c r="K2328" s="606">
        <f t="shared" si="463"/>
        <v>0</v>
      </c>
      <c r="L2328" s="607"/>
      <c r="M2328" s="614"/>
      <c r="N2328" s="614"/>
      <c r="O2328" s="287">
        <f t="shared" si="465"/>
        <v>0</v>
      </c>
      <c r="P2328" s="287">
        <f t="shared" si="466"/>
        <v>0</v>
      </c>
      <c r="Q2328" s="288"/>
      <c r="R2328" s="315" t="str">
        <f>IF(P2327&gt;0,"xy","")</f>
        <v/>
      </c>
      <c r="S2328" s="385" t="str">
        <f t="shared" si="462"/>
        <v/>
      </c>
    </row>
    <row r="2329" spans="2:19" ht="13.5" hidden="1" thickBot="1">
      <c r="B2329" s="609" t="s">
        <v>168</v>
      </c>
      <c r="C2329" s="610"/>
      <c r="D2329" s="611" t="s">
        <v>256</v>
      </c>
      <c r="E2329" s="602"/>
      <c r="F2329" s="603">
        <v>180</v>
      </c>
      <c r="G2329" s="604">
        <f>VLOOKUP(D2327,'ENSAIOS DE ORÇAMENTO'!$C$3:$L$79,5,FALSE)</f>
        <v>0.41372736000000004</v>
      </c>
      <c r="H2329" s="605">
        <f>IF(F2329=0,0,IF(F2329&lt;=30,(0.7*F2329+1.45)*G2329,((0.7*30+1.45)+0.58*(F2329-30))*G2329))</f>
        <v>45.282459552000006</v>
      </c>
      <c r="I2329" s="675"/>
      <c r="J2329" s="675"/>
      <c r="K2329" s="606">
        <f t="shared" si="463"/>
        <v>0</v>
      </c>
      <c r="L2329" s="607"/>
      <c r="M2329" s="614"/>
      <c r="N2329" s="614"/>
      <c r="O2329" s="287">
        <f t="shared" si="465"/>
        <v>0</v>
      </c>
      <c r="P2329" s="287">
        <f t="shared" si="466"/>
        <v>0</v>
      </c>
      <c r="Q2329" s="288"/>
      <c r="R2329" s="315" t="str">
        <f>IF(P2327&gt;0,"xy","")</f>
        <v/>
      </c>
      <c r="S2329" s="385" t="str">
        <f t="shared" si="462"/>
        <v/>
      </c>
    </row>
    <row r="2330" spans="2:19" ht="13.5" hidden="1" thickBot="1">
      <c r="B2330" s="609" t="s">
        <v>168</v>
      </c>
      <c r="C2330" s="610"/>
      <c r="D2330" s="611" t="s">
        <v>260</v>
      </c>
      <c r="E2330" s="602"/>
      <c r="F2330" s="603">
        <v>20</v>
      </c>
      <c r="G2330" s="604">
        <f>VLOOKUP(D2327,'ENSAIOS DE ORÇAMENTO'!$C$3:$L$79,6,FALSE)</f>
        <v>0.48857760000000011</v>
      </c>
      <c r="H2330" s="605">
        <f>IF(F2330=0,0,IF(F2330&lt;=30,(0.7*F2330+1.45)*G2330,((0.7*30+1.45)+0.58*(F2330-30))*G2330))</f>
        <v>7.5485239200000009</v>
      </c>
      <c r="I2330" s="675"/>
      <c r="J2330" s="675"/>
      <c r="K2330" s="606">
        <f t="shared" si="463"/>
        <v>0</v>
      </c>
      <c r="L2330" s="607"/>
      <c r="M2330" s="614"/>
      <c r="N2330" s="614"/>
      <c r="O2330" s="287">
        <f t="shared" si="465"/>
        <v>0</v>
      </c>
      <c r="P2330" s="287">
        <f t="shared" si="466"/>
        <v>0</v>
      </c>
      <c r="Q2330" s="288"/>
      <c r="R2330" s="243" t="str">
        <f>IF(P2327&gt;0,"xy","")</f>
        <v/>
      </c>
      <c r="S2330" s="385" t="str">
        <f t="shared" si="462"/>
        <v/>
      </c>
    </row>
    <row r="2331" spans="2:19" ht="13.5" hidden="1" thickBot="1">
      <c r="B2331" s="609" t="s">
        <v>168</v>
      </c>
      <c r="C2331" s="610"/>
      <c r="D2331" s="611" t="s">
        <v>417</v>
      </c>
      <c r="E2331" s="602"/>
      <c r="F2331" s="603">
        <v>30</v>
      </c>
      <c r="G2331" s="604">
        <f>VLOOKUP(D2327,'ENSAIOS DE ORÇAMENTO'!$C$3:$L$79,3,FALSE)</f>
        <v>0</v>
      </c>
      <c r="H2331" s="605">
        <f>IF(F2331=0,0,IF(F2331&lt;=30,(0.7*F2331+1.45)*G2331,((0.7*30+1.45)+0.58*(F2331-30))*G2331))</f>
        <v>0</v>
      </c>
      <c r="I2331" s="675"/>
      <c r="J2331" s="675"/>
      <c r="K2331" s="606">
        <f t="shared" si="463"/>
        <v>0</v>
      </c>
      <c r="L2331" s="607"/>
      <c r="M2331" s="614"/>
      <c r="N2331" s="614"/>
      <c r="O2331" s="287">
        <f t="shared" si="465"/>
        <v>0</v>
      </c>
      <c r="P2331" s="287">
        <f t="shared" si="466"/>
        <v>0</v>
      </c>
      <c r="Q2331" s="288"/>
      <c r="R2331" s="315" t="str">
        <f>IF(P2327&gt;0,"xy","")</f>
        <v/>
      </c>
      <c r="S2331" s="385" t="str">
        <f t="shared" si="462"/>
        <v/>
      </c>
    </row>
    <row r="2332" spans="2:19" ht="13.5" hidden="1" thickBot="1">
      <c r="B2332" s="609" t="s">
        <v>168</v>
      </c>
      <c r="C2332" s="610"/>
      <c r="D2332" s="611" t="s">
        <v>418</v>
      </c>
      <c r="E2332" s="602"/>
      <c r="F2332" s="603">
        <v>500</v>
      </c>
      <c r="G2332" s="604">
        <f>VLOOKUP(D2327,'ENSAIOS DE ORÇAMENTO'!$C$3:$L$79,10,FALSE)</f>
        <v>0</v>
      </c>
      <c r="H2332" s="605">
        <f>IF(F2332=0,0,IF(F2332&lt;=30,(0.7*F2332+1.45)*G2332,((0.7*30+1.45)+0.58*(F2332-30))*G2332))</f>
        <v>0</v>
      </c>
      <c r="I2332" s="675"/>
      <c r="J2332" s="675"/>
      <c r="K2332" s="606">
        <f t="shared" si="463"/>
        <v>0</v>
      </c>
      <c r="L2332" s="607"/>
      <c r="M2332" s="614"/>
      <c r="N2332" s="614"/>
      <c r="O2332" s="287">
        <f t="shared" si="465"/>
        <v>0</v>
      </c>
      <c r="P2332" s="287">
        <f t="shared" si="466"/>
        <v>0</v>
      </c>
      <c r="Q2332" s="288"/>
      <c r="R2332" s="315" t="str">
        <f>IF(P2327&gt;0,"xy","")</f>
        <v/>
      </c>
      <c r="S2332" s="385" t="str">
        <f t="shared" si="462"/>
        <v/>
      </c>
    </row>
    <row r="2333" spans="2:19" ht="13.5" hidden="1" thickBot="1">
      <c r="B2333" s="609" t="s">
        <v>40</v>
      </c>
      <c r="C2333" s="610" t="s">
        <v>212</v>
      </c>
      <c r="D2333" s="611" t="s">
        <v>433</v>
      </c>
      <c r="E2333" s="602"/>
      <c r="F2333" s="603"/>
      <c r="G2333" s="604"/>
      <c r="H2333" s="605">
        <f>SUM(H2334:H2338)</f>
        <v>125.43426439619999</v>
      </c>
      <c r="I2333" s="675">
        <f>VLOOKUP(D2333,'ENSAIOS DE ORÇAMENTO'!$C$3:$L$79,8,FALSE)</f>
        <v>1422.2802483866667</v>
      </c>
      <c r="J2333" s="675">
        <f t="shared" ref="J2333" si="469">IF(ISBLANK(I2333),"",SUM(H2333:I2333))</f>
        <v>1547.7145127828667</v>
      </c>
      <c r="K2333" s="606">
        <f t="shared" si="463"/>
        <v>1878.15</v>
      </c>
      <c r="L2333" s="607" t="s">
        <v>21</v>
      </c>
      <c r="M2333" s="30"/>
      <c r="N2333" s="30"/>
      <c r="O2333" s="287">
        <f t="shared" si="465"/>
        <v>0</v>
      </c>
      <c r="P2333" s="287">
        <f t="shared" si="466"/>
        <v>0</v>
      </c>
      <c r="Q2333" s="288"/>
      <c r="S2333" s="385" t="str">
        <f t="shared" si="462"/>
        <v/>
      </c>
    </row>
    <row r="2334" spans="2:19" ht="13.5" hidden="1" thickBot="1">
      <c r="B2334" s="609" t="s">
        <v>168</v>
      </c>
      <c r="C2334" s="610"/>
      <c r="D2334" s="611" t="s">
        <v>218</v>
      </c>
      <c r="E2334" s="602"/>
      <c r="F2334" s="603">
        <v>500</v>
      </c>
      <c r="G2334" s="604">
        <f>VLOOKUP(D2333,'ENSAIOS DE ORÇAMENTO'!$C$3:$L$79,4,FALSE)</f>
        <v>0.21117996</v>
      </c>
      <c r="H2334" s="605">
        <f>IF(F2334&lt;=30,(0.51*F2334+4.28)*G2334,((0.51*30+4.28)+0.42*(F2334-30))*G2334)</f>
        <v>45.821827720800002</v>
      </c>
      <c r="I2334" s="675"/>
      <c r="J2334" s="675"/>
      <c r="K2334" s="606">
        <f t="shared" si="463"/>
        <v>0</v>
      </c>
      <c r="L2334" s="607"/>
      <c r="M2334" s="614"/>
      <c r="N2334" s="614"/>
      <c r="O2334" s="287">
        <f t="shared" si="465"/>
        <v>0</v>
      </c>
      <c r="P2334" s="287">
        <f t="shared" si="466"/>
        <v>0</v>
      </c>
      <c r="Q2334" s="288"/>
      <c r="R2334" s="315" t="str">
        <f>IF(P2333&gt;0,"xy","")</f>
        <v/>
      </c>
      <c r="S2334" s="385" t="str">
        <f t="shared" si="462"/>
        <v/>
      </c>
    </row>
    <row r="2335" spans="2:19" ht="13.5" hidden="1" thickBot="1">
      <c r="B2335" s="609" t="s">
        <v>168</v>
      </c>
      <c r="C2335" s="610"/>
      <c r="D2335" s="611" t="s">
        <v>256</v>
      </c>
      <c r="E2335" s="602"/>
      <c r="F2335" s="603">
        <v>180</v>
      </c>
      <c r="G2335" s="604">
        <f>VLOOKUP(D2333,'ENSAIOS DE ORÇAMENTO'!$C$3:$L$79,5,FALSE)</f>
        <v>0.62284225199999999</v>
      </c>
      <c r="H2335" s="605">
        <f>IF(F2335=0,0,IF(F2335&lt;=30,(0.7*F2335+1.45)*G2335,((0.7*30+1.45)+0.58*(F2335-30))*G2335))</f>
        <v>68.170084481399996</v>
      </c>
      <c r="I2335" s="675"/>
      <c r="J2335" s="675"/>
      <c r="K2335" s="606">
        <f t="shared" si="463"/>
        <v>0</v>
      </c>
      <c r="L2335" s="607"/>
      <c r="M2335" s="614"/>
      <c r="N2335" s="614"/>
      <c r="O2335" s="287">
        <f t="shared" si="465"/>
        <v>0</v>
      </c>
      <c r="P2335" s="287">
        <f t="shared" si="466"/>
        <v>0</v>
      </c>
      <c r="Q2335" s="288"/>
      <c r="R2335" s="315" t="str">
        <f>IF(P2333&gt;0,"xy","")</f>
        <v/>
      </c>
      <c r="S2335" s="385" t="str">
        <f t="shared" si="462"/>
        <v/>
      </c>
    </row>
    <row r="2336" spans="2:19" ht="13.5" hidden="1" thickBot="1">
      <c r="B2336" s="609" t="s">
        <v>168</v>
      </c>
      <c r="C2336" s="610"/>
      <c r="D2336" s="611" t="s">
        <v>260</v>
      </c>
      <c r="E2336" s="602"/>
      <c r="F2336" s="603">
        <v>20</v>
      </c>
      <c r="G2336" s="604">
        <f>VLOOKUP(D2333,'ENSAIOS DE ORÇAMENTO'!$C$3:$L$79,6,FALSE)</f>
        <v>0.74060532000000001</v>
      </c>
      <c r="H2336" s="605">
        <f>IF(F2336=0,0,IF(F2336&lt;=30,(0.7*F2336+1.45)*G2336,((0.7*30+1.45)+0.58*(F2336-30))*G2336))</f>
        <v>11.442352194</v>
      </c>
      <c r="I2336" s="675"/>
      <c r="J2336" s="675"/>
      <c r="K2336" s="606">
        <f t="shared" si="463"/>
        <v>0</v>
      </c>
      <c r="L2336" s="607"/>
      <c r="M2336" s="614"/>
      <c r="N2336" s="614"/>
      <c r="O2336" s="287">
        <f t="shared" si="465"/>
        <v>0</v>
      </c>
      <c r="P2336" s="287">
        <f t="shared" si="466"/>
        <v>0</v>
      </c>
      <c r="Q2336" s="288"/>
      <c r="R2336" s="243" t="str">
        <f>IF(P2333&gt;0,"xy","")</f>
        <v/>
      </c>
      <c r="S2336" s="385" t="str">
        <f t="shared" si="462"/>
        <v/>
      </c>
    </row>
    <row r="2337" spans="2:19" ht="13.5" hidden="1" thickBot="1">
      <c r="B2337" s="609" t="s">
        <v>168</v>
      </c>
      <c r="C2337" s="610"/>
      <c r="D2337" s="611" t="s">
        <v>417</v>
      </c>
      <c r="E2337" s="602"/>
      <c r="F2337" s="603">
        <v>30</v>
      </c>
      <c r="G2337" s="604">
        <f>VLOOKUP(D2333,'ENSAIOS DE ORÇAMENTO'!$C$3:$L$79,3,FALSE)</f>
        <v>0</v>
      </c>
      <c r="H2337" s="605">
        <f>IF(F2337=0,0,IF(F2337&lt;=30,(0.7*F2337+1.45)*G2337,((0.7*30+1.45)+0.58*(F2337-30))*G2337))</f>
        <v>0</v>
      </c>
      <c r="I2337" s="675"/>
      <c r="J2337" s="675"/>
      <c r="K2337" s="606">
        <f t="shared" si="463"/>
        <v>0</v>
      </c>
      <c r="L2337" s="607"/>
      <c r="M2337" s="614"/>
      <c r="N2337" s="614"/>
      <c r="O2337" s="287">
        <f t="shared" si="465"/>
        <v>0</v>
      </c>
      <c r="P2337" s="287">
        <f t="shared" si="466"/>
        <v>0</v>
      </c>
      <c r="Q2337" s="288"/>
      <c r="R2337" s="315" t="str">
        <f>IF(P2333&gt;0,"xy","")</f>
        <v/>
      </c>
      <c r="S2337" s="385" t="str">
        <f t="shared" si="462"/>
        <v/>
      </c>
    </row>
    <row r="2338" spans="2:19" ht="13.5" hidden="1" thickBot="1">
      <c r="B2338" s="609" t="s">
        <v>168</v>
      </c>
      <c r="C2338" s="610"/>
      <c r="D2338" s="611" t="s">
        <v>418</v>
      </c>
      <c r="E2338" s="602"/>
      <c r="F2338" s="603">
        <v>500</v>
      </c>
      <c r="G2338" s="604">
        <f>VLOOKUP(D2333,'ENSAIOS DE ORÇAMENTO'!$C$3:$L$79,10,FALSE)</f>
        <v>0</v>
      </c>
      <c r="H2338" s="605">
        <f>IF(F2338=0,0,IF(F2338&lt;=30,(0.7*F2338+1.45)*G2338,((0.7*30+1.45)+0.58*(F2338-30))*G2338))</f>
        <v>0</v>
      </c>
      <c r="I2338" s="675"/>
      <c r="J2338" s="675"/>
      <c r="K2338" s="606">
        <f t="shared" si="463"/>
        <v>0</v>
      </c>
      <c r="L2338" s="607"/>
      <c r="M2338" s="614"/>
      <c r="N2338" s="614"/>
      <c r="O2338" s="287">
        <f t="shared" si="465"/>
        <v>0</v>
      </c>
      <c r="P2338" s="287">
        <f t="shared" si="466"/>
        <v>0</v>
      </c>
      <c r="Q2338" s="288"/>
      <c r="R2338" s="315" t="str">
        <f>IF(P2333&gt;0,"xy","")</f>
        <v/>
      </c>
      <c r="S2338" s="385" t="str">
        <f t="shared" si="462"/>
        <v/>
      </c>
    </row>
    <row r="2339" spans="2:19" ht="13.5" hidden="1" thickBot="1">
      <c r="B2339" s="609" t="s">
        <v>41</v>
      </c>
      <c r="C2339" s="610" t="s">
        <v>212</v>
      </c>
      <c r="D2339" s="611" t="s">
        <v>434</v>
      </c>
      <c r="E2339" s="602"/>
      <c r="F2339" s="603"/>
      <c r="G2339" s="604"/>
      <c r="H2339" s="605">
        <f>SUM(H2340:H2344)</f>
        <v>225.66676337524996</v>
      </c>
      <c r="I2339" s="675">
        <f>VLOOKUP(D2339,'ENSAIOS DE ORÇAMENTO'!$C$3:$L$79,8,FALSE)</f>
        <v>2436.5898554833334</v>
      </c>
      <c r="J2339" s="675">
        <f t="shared" ref="J2339" si="470">IF(ISBLANK(I2339),"",SUM(H2339:I2339))</f>
        <v>2662.2566188585834</v>
      </c>
      <c r="K2339" s="606">
        <f t="shared" si="463"/>
        <v>3230.65</v>
      </c>
      <c r="L2339" s="607" t="s">
        <v>21</v>
      </c>
      <c r="M2339" s="30"/>
      <c r="N2339" s="30"/>
      <c r="O2339" s="287">
        <f t="shared" si="465"/>
        <v>0</v>
      </c>
      <c r="P2339" s="287">
        <f t="shared" si="466"/>
        <v>0</v>
      </c>
      <c r="Q2339" s="288"/>
      <c r="S2339" s="385" t="str">
        <f t="shared" si="462"/>
        <v/>
      </c>
    </row>
    <row r="2340" spans="2:19" ht="13.5" hidden="1" thickBot="1">
      <c r="B2340" s="609" t="s">
        <v>168</v>
      </c>
      <c r="C2340" s="610"/>
      <c r="D2340" s="611" t="s">
        <v>218</v>
      </c>
      <c r="E2340" s="602"/>
      <c r="F2340" s="603">
        <v>500</v>
      </c>
      <c r="G2340" s="604">
        <f>VLOOKUP(D2339,'ENSAIOS DE ORÇAMENTO'!$C$3:$L$79,4,FALSE)</f>
        <v>0.38327894999999995</v>
      </c>
      <c r="H2340" s="605">
        <f>IF(F2340&lt;=30,(0.51*F2340+4.28)*G2340,((0.51*30+4.28)+0.42*(F2340-30))*G2340)</f>
        <v>83.163866571</v>
      </c>
      <c r="I2340" s="675"/>
      <c r="J2340" s="675"/>
      <c r="K2340" s="606">
        <f t="shared" si="463"/>
        <v>0</v>
      </c>
      <c r="L2340" s="607"/>
      <c r="M2340" s="614"/>
      <c r="N2340" s="614"/>
      <c r="O2340" s="287">
        <f t="shared" si="465"/>
        <v>0</v>
      </c>
      <c r="P2340" s="287">
        <f t="shared" si="466"/>
        <v>0</v>
      </c>
      <c r="Q2340" s="288"/>
      <c r="R2340" s="315" t="str">
        <f>IF(P2339&gt;0,"xy","")</f>
        <v/>
      </c>
      <c r="S2340" s="385" t="str">
        <f t="shared" si="462"/>
        <v/>
      </c>
    </row>
    <row r="2341" spans="2:19" ht="13.5" hidden="1" thickBot="1">
      <c r="B2341" s="609" t="s">
        <v>168</v>
      </c>
      <c r="C2341" s="610"/>
      <c r="D2341" s="611" t="s">
        <v>256</v>
      </c>
      <c r="E2341" s="602"/>
      <c r="F2341" s="603">
        <v>180</v>
      </c>
      <c r="G2341" s="604">
        <f>VLOOKUP(D2339,'ENSAIOS DE ORÇAMENTO'!$C$3:$L$79,5,FALSE)</f>
        <v>1.1143076149999998</v>
      </c>
      <c r="H2341" s="605">
        <f>IF(F2341=0,0,IF(F2341&lt;=30,(0.7*F2341+1.45)*G2341,((0.7*30+1.45)+0.58*(F2341-30))*G2341))</f>
        <v>121.96096846174997</v>
      </c>
      <c r="I2341" s="675"/>
      <c r="J2341" s="675"/>
      <c r="K2341" s="606">
        <f t="shared" si="463"/>
        <v>0</v>
      </c>
      <c r="L2341" s="607"/>
      <c r="M2341" s="614"/>
      <c r="N2341" s="614"/>
      <c r="O2341" s="287">
        <f t="shared" si="465"/>
        <v>0</v>
      </c>
      <c r="P2341" s="287">
        <f t="shared" si="466"/>
        <v>0</v>
      </c>
      <c r="Q2341" s="288"/>
      <c r="R2341" s="315" t="str">
        <f>IF(P2339&gt;0,"xy","")</f>
        <v/>
      </c>
      <c r="S2341" s="385" t="str">
        <f t="shared" si="462"/>
        <v/>
      </c>
    </row>
    <row r="2342" spans="2:19" ht="13.5" hidden="1" thickBot="1">
      <c r="B2342" s="609" t="s">
        <v>168</v>
      </c>
      <c r="C2342" s="610"/>
      <c r="D2342" s="611" t="s">
        <v>260</v>
      </c>
      <c r="E2342" s="602"/>
      <c r="F2342" s="603">
        <v>20</v>
      </c>
      <c r="G2342" s="604">
        <f>VLOOKUP(D2339,'ENSAIOS DE ORÇAMENTO'!$C$3:$L$79,6,FALSE)</f>
        <v>1.3295746499999999</v>
      </c>
      <c r="H2342" s="605">
        <f>IF(F2342=0,0,IF(F2342&lt;=30,(0.7*F2342+1.45)*G2342,((0.7*30+1.45)+0.58*(F2342-30))*G2342))</f>
        <v>20.541928342499997</v>
      </c>
      <c r="I2342" s="675"/>
      <c r="J2342" s="675"/>
      <c r="K2342" s="606">
        <f t="shared" si="463"/>
        <v>0</v>
      </c>
      <c r="L2342" s="607"/>
      <c r="M2342" s="614"/>
      <c r="N2342" s="614"/>
      <c r="O2342" s="287">
        <f t="shared" si="465"/>
        <v>0</v>
      </c>
      <c r="P2342" s="287">
        <f t="shared" si="466"/>
        <v>0</v>
      </c>
      <c r="Q2342" s="288"/>
      <c r="R2342" s="243" t="str">
        <f>IF(P2339&gt;0,"xy","")</f>
        <v/>
      </c>
      <c r="S2342" s="385" t="str">
        <f t="shared" si="462"/>
        <v/>
      </c>
    </row>
    <row r="2343" spans="2:19" ht="13.5" hidden="1" thickBot="1">
      <c r="B2343" s="609" t="s">
        <v>168</v>
      </c>
      <c r="C2343" s="610"/>
      <c r="D2343" s="611" t="s">
        <v>417</v>
      </c>
      <c r="E2343" s="602"/>
      <c r="F2343" s="603">
        <v>30</v>
      </c>
      <c r="G2343" s="604">
        <f>VLOOKUP(D2339,'ENSAIOS DE ORÇAMENTO'!$C$3:$L$79,3,FALSE)</f>
        <v>0</v>
      </c>
      <c r="H2343" s="605">
        <f>IF(F2343=0,0,IF(F2343&lt;=30,(0.7*F2343+1.45)*G2343,((0.7*30+1.45)+0.58*(F2343-30))*G2343))</f>
        <v>0</v>
      </c>
      <c r="I2343" s="675"/>
      <c r="J2343" s="675"/>
      <c r="K2343" s="606">
        <f t="shared" si="463"/>
        <v>0</v>
      </c>
      <c r="L2343" s="607"/>
      <c r="M2343" s="614"/>
      <c r="N2343" s="614"/>
      <c r="O2343" s="287">
        <f t="shared" si="465"/>
        <v>0</v>
      </c>
      <c r="P2343" s="287">
        <f t="shared" si="466"/>
        <v>0</v>
      </c>
      <c r="Q2343" s="288"/>
      <c r="R2343" s="315" t="str">
        <f>IF(P2339&gt;0,"xy","")</f>
        <v/>
      </c>
      <c r="S2343" s="385" t="str">
        <f t="shared" si="462"/>
        <v/>
      </c>
    </row>
    <row r="2344" spans="2:19" ht="13.5" hidden="1" thickBot="1">
      <c r="B2344" s="609" t="s">
        <v>168</v>
      </c>
      <c r="C2344" s="610"/>
      <c r="D2344" s="611" t="s">
        <v>418</v>
      </c>
      <c r="E2344" s="602"/>
      <c r="F2344" s="603">
        <v>500</v>
      </c>
      <c r="G2344" s="604">
        <f>VLOOKUP(D2339,'ENSAIOS DE ORÇAMENTO'!$C$3:$L$79,10,FALSE)</f>
        <v>0</v>
      </c>
      <c r="H2344" s="605">
        <f>IF(F2344=0,0,IF(F2344&lt;=30,(0.7*F2344+1.45)*G2344,((0.7*30+1.45)+0.58*(F2344-30))*G2344))</f>
        <v>0</v>
      </c>
      <c r="I2344" s="675"/>
      <c r="J2344" s="675"/>
      <c r="K2344" s="606">
        <f t="shared" si="463"/>
        <v>0</v>
      </c>
      <c r="L2344" s="607"/>
      <c r="M2344" s="614"/>
      <c r="N2344" s="614"/>
      <c r="O2344" s="287">
        <f t="shared" si="465"/>
        <v>0</v>
      </c>
      <c r="P2344" s="287">
        <f t="shared" si="466"/>
        <v>0</v>
      </c>
      <c r="Q2344" s="288"/>
      <c r="R2344" s="315" t="str">
        <f>IF(P2339&gt;0,"xy","")</f>
        <v/>
      </c>
      <c r="S2344" s="385" t="str">
        <f t="shared" si="462"/>
        <v/>
      </c>
    </row>
    <row r="2345" spans="2:19" ht="13.5" hidden="1" thickBot="1">
      <c r="B2345" s="609" t="s">
        <v>42</v>
      </c>
      <c r="C2345" s="610" t="s">
        <v>212</v>
      </c>
      <c r="D2345" s="611" t="s">
        <v>435</v>
      </c>
      <c r="E2345" s="602"/>
      <c r="F2345" s="603"/>
      <c r="G2345" s="604"/>
      <c r="H2345" s="605">
        <f>SUM(H2346:H2350)</f>
        <v>331.58738930900006</v>
      </c>
      <c r="I2345" s="675">
        <f>VLOOKUP(D2345,'ENSAIOS DE ORÇAMENTO'!$C$3:$L$79,8,FALSE)</f>
        <v>3531.4724240666665</v>
      </c>
      <c r="J2345" s="675">
        <f t="shared" ref="J2345" si="471">IF(ISBLANK(I2345),"",SUM(H2345:I2345))</f>
        <v>3863.0598133756666</v>
      </c>
      <c r="K2345" s="606">
        <f t="shared" si="463"/>
        <v>4687.82</v>
      </c>
      <c r="L2345" s="607" t="s">
        <v>21</v>
      </c>
      <c r="M2345" s="30"/>
      <c r="N2345" s="30"/>
      <c r="O2345" s="287">
        <f t="shared" si="465"/>
        <v>0</v>
      </c>
      <c r="P2345" s="287">
        <f t="shared" si="466"/>
        <v>0</v>
      </c>
      <c r="Q2345" s="288"/>
      <c r="S2345" s="385" t="str">
        <f t="shared" si="462"/>
        <v/>
      </c>
    </row>
    <row r="2346" spans="2:19" ht="13.5" hidden="1" thickBot="1">
      <c r="B2346" s="609" t="s">
        <v>168</v>
      </c>
      <c r="C2346" s="610"/>
      <c r="D2346" s="611" t="s">
        <v>218</v>
      </c>
      <c r="E2346" s="602"/>
      <c r="F2346" s="603">
        <v>500</v>
      </c>
      <c r="G2346" s="604">
        <f>VLOOKUP(D2345,'ENSAIOS DE ORÇAMENTO'!$C$3:$L$79,4,FALSE)</f>
        <v>0.56408220000000009</v>
      </c>
      <c r="H2346" s="605">
        <f>IF(F2346&lt;=30,(0.51*F2346+4.28)*G2346,((0.51*30+4.28)+0.42*(F2346-30))*G2346)</f>
        <v>122.39455575600003</v>
      </c>
      <c r="I2346" s="675"/>
      <c r="J2346" s="675"/>
      <c r="K2346" s="606">
        <f t="shared" si="463"/>
        <v>0</v>
      </c>
      <c r="L2346" s="607"/>
      <c r="M2346" s="614"/>
      <c r="N2346" s="614"/>
      <c r="O2346" s="287">
        <f t="shared" si="465"/>
        <v>0</v>
      </c>
      <c r="P2346" s="287">
        <f t="shared" si="466"/>
        <v>0</v>
      </c>
      <c r="Q2346" s="288"/>
      <c r="R2346" s="315" t="str">
        <f>IF(P2345&gt;0,"xy","")</f>
        <v/>
      </c>
      <c r="S2346" s="385" t="str">
        <f t="shared" si="462"/>
        <v/>
      </c>
    </row>
    <row r="2347" spans="2:19" ht="13.5" hidden="1" thickBot="1">
      <c r="B2347" s="609" t="s">
        <v>168</v>
      </c>
      <c r="C2347" s="610"/>
      <c r="D2347" s="611" t="s">
        <v>256</v>
      </c>
      <c r="E2347" s="602"/>
      <c r="F2347" s="603">
        <v>180</v>
      </c>
      <c r="G2347" s="604">
        <f>VLOOKUP(D2345,'ENSAIOS DE ORÇAMENTO'!$C$3:$L$79,5,FALSE)</f>
        <v>1.6356421400000001</v>
      </c>
      <c r="H2347" s="605">
        <f>IF(F2347=0,0,IF(F2347&lt;=30,(0.7*F2347+1.45)*G2347,((0.7*30+1.45)+0.58*(F2347-30))*G2347))</f>
        <v>179.02103222300002</v>
      </c>
      <c r="I2347" s="675"/>
      <c r="J2347" s="675"/>
      <c r="K2347" s="606">
        <f t="shared" si="463"/>
        <v>0</v>
      </c>
      <c r="L2347" s="607"/>
      <c r="M2347" s="614"/>
      <c r="N2347" s="614"/>
      <c r="O2347" s="287">
        <f t="shared" si="465"/>
        <v>0</v>
      </c>
      <c r="P2347" s="287">
        <f t="shared" si="466"/>
        <v>0</v>
      </c>
      <c r="Q2347" s="288"/>
      <c r="R2347" s="315" t="str">
        <f>IF(P2345&gt;0,"xy","")</f>
        <v/>
      </c>
      <c r="S2347" s="385" t="str">
        <f t="shared" si="462"/>
        <v/>
      </c>
    </row>
    <row r="2348" spans="2:19" ht="13.5" hidden="1" thickBot="1">
      <c r="B2348" s="609" t="s">
        <v>168</v>
      </c>
      <c r="C2348" s="610"/>
      <c r="D2348" s="611" t="s">
        <v>260</v>
      </c>
      <c r="E2348" s="602"/>
      <c r="F2348" s="603">
        <v>20</v>
      </c>
      <c r="G2348" s="604">
        <f>VLOOKUP(D2345,'ENSAIOS DE ORÇAMENTO'!$C$3:$L$79,6,FALSE)</f>
        <v>1.9528674000000004</v>
      </c>
      <c r="H2348" s="605">
        <f>IF(F2348=0,0,IF(F2348&lt;=30,(0.7*F2348+1.45)*G2348,((0.7*30+1.45)+0.58*(F2348-30))*G2348))</f>
        <v>30.171801330000005</v>
      </c>
      <c r="I2348" s="675"/>
      <c r="J2348" s="675"/>
      <c r="K2348" s="606">
        <f t="shared" si="463"/>
        <v>0</v>
      </c>
      <c r="L2348" s="607"/>
      <c r="M2348" s="614"/>
      <c r="N2348" s="614"/>
      <c r="O2348" s="287">
        <f t="shared" si="465"/>
        <v>0</v>
      </c>
      <c r="P2348" s="287">
        <f t="shared" si="466"/>
        <v>0</v>
      </c>
      <c r="Q2348" s="288"/>
      <c r="R2348" s="243" t="str">
        <f>IF(P2345&gt;0,"xy","")</f>
        <v/>
      </c>
      <c r="S2348" s="385" t="str">
        <f t="shared" si="462"/>
        <v/>
      </c>
    </row>
    <row r="2349" spans="2:19" ht="13.5" hidden="1" thickBot="1">
      <c r="B2349" s="609" t="s">
        <v>168</v>
      </c>
      <c r="C2349" s="610"/>
      <c r="D2349" s="611" t="s">
        <v>417</v>
      </c>
      <c r="E2349" s="602"/>
      <c r="F2349" s="603">
        <v>30</v>
      </c>
      <c r="G2349" s="604">
        <f>VLOOKUP(D2345,'ENSAIOS DE ORÇAMENTO'!$C$3:$L$79,3,FALSE)</f>
        <v>0</v>
      </c>
      <c r="H2349" s="605">
        <f>IF(F2349=0,0,IF(F2349&lt;=30,(0.7*F2349+1.45)*G2349,((0.7*30+1.45)+0.58*(F2349-30))*G2349))</f>
        <v>0</v>
      </c>
      <c r="I2349" s="675"/>
      <c r="J2349" s="675"/>
      <c r="K2349" s="606">
        <f t="shared" si="463"/>
        <v>0</v>
      </c>
      <c r="L2349" s="607"/>
      <c r="M2349" s="614"/>
      <c r="N2349" s="614"/>
      <c r="O2349" s="287">
        <f t="shared" si="465"/>
        <v>0</v>
      </c>
      <c r="P2349" s="287">
        <f t="shared" si="466"/>
        <v>0</v>
      </c>
      <c r="Q2349" s="288"/>
      <c r="R2349" s="315" t="str">
        <f>IF(P2345&gt;0,"xy","")</f>
        <v/>
      </c>
      <c r="S2349" s="385" t="str">
        <f t="shared" si="462"/>
        <v/>
      </c>
    </row>
    <row r="2350" spans="2:19" ht="13.5" hidden="1" thickBot="1">
      <c r="B2350" s="609" t="s">
        <v>168</v>
      </c>
      <c r="C2350" s="610"/>
      <c r="D2350" s="611" t="s">
        <v>418</v>
      </c>
      <c r="E2350" s="602"/>
      <c r="F2350" s="603">
        <v>500</v>
      </c>
      <c r="G2350" s="604">
        <f>VLOOKUP(D2345,'ENSAIOS DE ORÇAMENTO'!$C$3:$L$79,10,FALSE)</f>
        <v>0</v>
      </c>
      <c r="H2350" s="605">
        <f>IF(F2350=0,0,IF(F2350&lt;=30,(0.7*F2350+1.45)*G2350,((0.7*30+1.45)+0.58*(F2350-30))*G2350))</f>
        <v>0</v>
      </c>
      <c r="I2350" s="675"/>
      <c r="J2350" s="675"/>
      <c r="K2350" s="606">
        <f t="shared" si="463"/>
        <v>0</v>
      </c>
      <c r="L2350" s="607"/>
      <c r="M2350" s="614"/>
      <c r="N2350" s="614"/>
      <c r="O2350" s="287">
        <f t="shared" si="465"/>
        <v>0</v>
      </c>
      <c r="P2350" s="287">
        <f t="shared" si="466"/>
        <v>0</v>
      </c>
      <c r="Q2350" s="288"/>
      <c r="R2350" s="315" t="str">
        <f>IF(P2345&gt;0,"xy","")</f>
        <v/>
      </c>
      <c r="S2350" s="385" t="str">
        <f t="shared" si="462"/>
        <v/>
      </c>
    </row>
    <row r="2351" spans="2:19" ht="13.5" hidden="1" thickBot="1">
      <c r="B2351" s="609" t="s">
        <v>43</v>
      </c>
      <c r="C2351" s="610" t="s">
        <v>212</v>
      </c>
      <c r="D2351" s="611" t="s">
        <v>436</v>
      </c>
      <c r="E2351" s="602"/>
      <c r="F2351" s="603"/>
      <c r="G2351" s="604"/>
      <c r="H2351" s="605">
        <f>SUM(H2352:H2356)</f>
        <v>458.65229742400004</v>
      </c>
      <c r="I2351" s="675">
        <f>VLOOKUP(D2351,'ENSAIOS DE ORÇAMENTO'!$C$3:$L$79,8,FALSE)</f>
        <v>4868.9760864</v>
      </c>
      <c r="J2351" s="675">
        <f t="shared" ref="J2351" si="472">IF(ISBLANK(I2351),"",SUM(H2351:I2351))</f>
        <v>5327.6283838239997</v>
      </c>
      <c r="K2351" s="606">
        <f t="shared" si="463"/>
        <v>6465.08</v>
      </c>
      <c r="L2351" s="607" t="s">
        <v>21</v>
      </c>
      <c r="M2351" s="30"/>
      <c r="N2351" s="30"/>
      <c r="O2351" s="287">
        <f t="shared" si="465"/>
        <v>0</v>
      </c>
      <c r="P2351" s="287">
        <f t="shared" si="466"/>
        <v>0</v>
      </c>
      <c r="Q2351" s="288"/>
      <c r="S2351" s="385" t="str">
        <f t="shared" si="462"/>
        <v/>
      </c>
    </row>
    <row r="2352" spans="2:19" ht="13.5" hidden="1" thickBot="1">
      <c r="B2352" s="609" t="s">
        <v>168</v>
      </c>
      <c r="C2352" s="610"/>
      <c r="D2352" s="611" t="s">
        <v>218</v>
      </c>
      <c r="E2352" s="602"/>
      <c r="F2352" s="603">
        <v>500</v>
      </c>
      <c r="G2352" s="604">
        <f>VLOOKUP(D2351,'ENSAIOS DE ORÇAMENTO'!$C$3:$L$79,4,FALSE)</f>
        <v>0.77929919999999997</v>
      </c>
      <c r="H2352" s="605">
        <f>IF(F2352&lt;=30,(0.51*F2352+4.28)*G2352,((0.51*30+4.28)+0.42*(F2352-30))*G2352)</f>
        <v>169.09234041600001</v>
      </c>
      <c r="I2352" s="675"/>
      <c r="J2352" s="675"/>
      <c r="K2352" s="606">
        <f t="shared" si="463"/>
        <v>0</v>
      </c>
      <c r="L2352" s="607"/>
      <c r="M2352" s="614"/>
      <c r="N2352" s="614"/>
      <c r="O2352" s="287">
        <f t="shared" si="465"/>
        <v>0</v>
      </c>
      <c r="P2352" s="287">
        <f t="shared" si="466"/>
        <v>0</v>
      </c>
      <c r="Q2352" s="288"/>
      <c r="R2352" s="315" t="str">
        <f>IF(P2351&gt;0,"xy","")</f>
        <v/>
      </c>
      <c r="S2352" s="385" t="str">
        <f t="shared" si="462"/>
        <v/>
      </c>
    </row>
    <row r="2353" spans="2:19" ht="13.5" hidden="1" thickBot="1">
      <c r="B2353" s="609" t="s">
        <v>168</v>
      </c>
      <c r="C2353" s="610"/>
      <c r="D2353" s="611" t="s">
        <v>256</v>
      </c>
      <c r="E2353" s="602"/>
      <c r="F2353" s="603">
        <v>180</v>
      </c>
      <c r="G2353" s="604">
        <f>VLOOKUP(D2351,'ENSAIOS DE ORÇAMENTO'!$C$3:$L$79,5,FALSE)</f>
        <v>2.26417504</v>
      </c>
      <c r="H2353" s="605">
        <f>IF(F2353=0,0,IF(F2353&lt;=30,(0.7*F2353+1.45)*G2353,((0.7*30+1.45)+0.58*(F2353-30))*G2353))</f>
        <v>247.813958128</v>
      </c>
      <c r="I2353" s="675"/>
      <c r="J2353" s="675"/>
      <c r="K2353" s="606">
        <f t="shared" si="463"/>
        <v>0</v>
      </c>
      <c r="L2353" s="607"/>
      <c r="M2353" s="614"/>
      <c r="N2353" s="614"/>
      <c r="O2353" s="287">
        <f t="shared" si="465"/>
        <v>0</v>
      </c>
      <c r="P2353" s="287">
        <f t="shared" si="466"/>
        <v>0</v>
      </c>
      <c r="Q2353" s="288"/>
      <c r="R2353" s="315" t="str">
        <f>IF(P2351&gt;0,"xy","")</f>
        <v/>
      </c>
      <c r="S2353" s="385" t="str">
        <f t="shared" si="462"/>
        <v/>
      </c>
    </row>
    <row r="2354" spans="2:19" ht="13.5" hidden="1" thickBot="1">
      <c r="B2354" s="609" t="s">
        <v>168</v>
      </c>
      <c r="C2354" s="610"/>
      <c r="D2354" s="611" t="s">
        <v>260</v>
      </c>
      <c r="E2354" s="602"/>
      <c r="F2354" s="603">
        <v>20</v>
      </c>
      <c r="G2354" s="604">
        <f>VLOOKUP(D2351,'ENSAIOS DE ORÇAMENTO'!$C$3:$L$79,6,FALSE)</f>
        <v>2.7020064000000001</v>
      </c>
      <c r="H2354" s="605">
        <f>IF(F2354=0,0,IF(F2354&lt;=30,(0.7*F2354+1.45)*G2354,((0.7*30+1.45)+0.58*(F2354-30))*G2354))</f>
        <v>41.745998880000002</v>
      </c>
      <c r="I2354" s="675"/>
      <c r="J2354" s="675"/>
      <c r="K2354" s="606">
        <f t="shared" si="463"/>
        <v>0</v>
      </c>
      <c r="L2354" s="607"/>
      <c r="M2354" s="614"/>
      <c r="N2354" s="614"/>
      <c r="O2354" s="287">
        <f t="shared" si="465"/>
        <v>0</v>
      </c>
      <c r="P2354" s="287">
        <f t="shared" si="466"/>
        <v>0</v>
      </c>
      <c r="Q2354" s="288"/>
      <c r="R2354" s="243" t="str">
        <f>IF(P2351&gt;0,"xy","")</f>
        <v/>
      </c>
      <c r="S2354" s="385" t="str">
        <f t="shared" si="462"/>
        <v/>
      </c>
    </row>
    <row r="2355" spans="2:19" ht="13.5" hidden="1" thickBot="1">
      <c r="B2355" s="609" t="s">
        <v>168</v>
      </c>
      <c r="C2355" s="610"/>
      <c r="D2355" s="611" t="s">
        <v>417</v>
      </c>
      <c r="E2355" s="602"/>
      <c r="F2355" s="603">
        <v>30</v>
      </c>
      <c r="G2355" s="604">
        <f>VLOOKUP(D2351,'ENSAIOS DE ORÇAMENTO'!$C$3:$L$79,3,FALSE)</f>
        <v>0</v>
      </c>
      <c r="H2355" s="605">
        <f>IF(F2355=0,0,IF(F2355&lt;=30,(0.7*F2355+1.45)*G2355,((0.7*30+1.45)+0.58*(F2355-30))*G2355))</f>
        <v>0</v>
      </c>
      <c r="I2355" s="675"/>
      <c r="J2355" s="675"/>
      <c r="K2355" s="606">
        <f t="shared" si="463"/>
        <v>0</v>
      </c>
      <c r="L2355" s="607"/>
      <c r="M2355" s="614"/>
      <c r="N2355" s="614"/>
      <c r="O2355" s="287">
        <f t="shared" si="465"/>
        <v>0</v>
      </c>
      <c r="P2355" s="287">
        <f t="shared" si="466"/>
        <v>0</v>
      </c>
      <c r="Q2355" s="288"/>
      <c r="R2355" s="315" t="str">
        <f>IF(P2351&gt;0,"xy","")</f>
        <v/>
      </c>
      <c r="S2355" s="385" t="str">
        <f t="shared" si="462"/>
        <v/>
      </c>
    </row>
    <row r="2356" spans="2:19" ht="13.5" hidden="1" thickBot="1">
      <c r="B2356" s="609" t="s">
        <v>168</v>
      </c>
      <c r="C2356" s="610"/>
      <c r="D2356" s="611" t="s">
        <v>418</v>
      </c>
      <c r="E2356" s="602"/>
      <c r="F2356" s="603">
        <v>500</v>
      </c>
      <c r="G2356" s="604">
        <f>VLOOKUP(D2351,'ENSAIOS DE ORÇAMENTO'!$C$3:$L$79,10,FALSE)</f>
        <v>0</v>
      </c>
      <c r="H2356" s="605">
        <f>IF(F2356=0,0,IF(F2356&lt;=30,(0.7*F2356+1.45)*G2356,((0.7*30+1.45)+0.58*(F2356-30))*G2356))</f>
        <v>0</v>
      </c>
      <c r="I2356" s="675"/>
      <c r="J2356" s="675"/>
      <c r="K2356" s="606">
        <f t="shared" si="463"/>
        <v>0</v>
      </c>
      <c r="L2356" s="607"/>
      <c r="M2356" s="614"/>
      <c r="N2356" s="614"/>
      <c r="O2356" s="287">
        <f t="shared" si="465"/>
        <v>0</v>
      </c>
      <c r="P2356" s="287">
        <f t="shared" si="466"/>
        <v>0</v>
      </c>
      <c r="Q2356" s="288"/>
      <c r="R2356" s="315" t="str">
        <f>IF(P2351&gt;0,"xy","")</f>
        <v/>
      </c>
      <c r="S2356" s="385" t="str">
        <f t="shared" si="462"/>
        <v/>
      </c>
    </row>
    <row r="2357" spans="2:19" ht="13.5" hidden="1" thickBot="1">
      <c r="B2357" s="609" t="s">
        <v>44</v>
      </c>
      <c r="C2357" s="610" t="s">
        <v>212</v>
      </c>
      <c r="D2357" s="611" t="s">
        <v>437</v>
      </c>
      <c r="E2357" s="602"/>
      <c r="F2357" s="603"/>
      <c r="G2357" s="604"/>
      <c r="H2357" s="605">
        <f>SUM(H2358:H2362)</f>
        <v>711.34221405525</v>
      </c>
      <c r="I2357" s="675">
        <f>VLOOKUP(D2357,'ENSAIOS DE ORÇAMENTO'!$C$3:$L$79,8,FALSE)</f>
        <v>7247.9917271499999</v>
      </c>
      <c r="J2357" s="675">
        <f t="shared" ref="J2357" si="473">IF(ISBLANK(I2357),"",SUM(H2357:I2357))</f>
        <v>7959.3339412052501</v>
      </c>
      <c r="K2357" s="606">
        <f t="shared" si="463"/>
        <v>9658.65</v>
      </c>
      <c r="L2357" s="607" t="s">
        <v>21</v>
      </c>
      <c r="M2357" s="30"/>
      <c r="N2357" s="30"/>
      <c r="O2357" s="287">
        <f t="shared" si="465"/>
        <v>0</v>
      </c>
      <c r="P2357" s="287">
        <f t="shared" si="466"/>
        <v>0</v>
      </c>
      <c r="Q2357" s="288"/>
      <c r="S2357" s="385" t="str">
        <f t="shared" si="462"/>
        <v/>
      </c>
    </row>
    <row r="2358" spans="2:19" ht="13.5" hidden="1" thickBot="1">
      <c r="B2358" s="609" t="s">
        <v>168</v>
      </c>
      <c r="C2358" s="610"/>
      <c r="D2358" s="611" t="s">
        <v>218</v>
      </c>
      <c r="E2358" s="602"/>
      <c r="F2358" s="603">
        <v>500</v>
      </c>
      <c r="G2358" s="604">
        <f>VLOOKUP(D2357,'ENSAIOS DE ORÇAMENTO'!$C$3:$L$79,4,FALSE)</f>
        <v>1.2096229499999998</v>
      </c>
      <c r="H2358" s="605">
        <f>IF(F2358&lt;=30,(0.51*F2358+4.28)*G2358,((0.51*30+4.28)+0.42*(F2358-30))*G2358)</f>
        <v>262.46398769099994</v>
      </c>
      <c r="I2358" s="675"/>
      <c r="J2358" s="675"/>
      <c r="K2358" s="606">
        <f t="shared" si="463"/>
        <v>0</v>
      </c>
      <c r="L2358" s="607"/>
      <c r="M2358" s="614"/>
      <c r="N2358" s="614"/>
      <c r="O2358" s="287">
        <f t="shared" si="465"/>
        <v>0</v>
      </c>
      <c r="P2358" s="287">
        <f t="shared" si="466"/>
        <v>0</v>
      </c>
      <c r="Q2358" s="288"/>
      <c r="R2358" s="315" t="str">
        <f>IF(P2357&gt;0,"xy","")</f>
        <v/>
      </c>
      <c r="S2358" s="385" t="str">
        <f t="shared" si="462"/>
        <v/>
      </c>
    </row>
    <row r="2359" spans="2:19" ht="13.5" hidden="1" thickBot="1">
      <c r="B2359" s="609" t="s">
        <v>168</v>
      </c>
      <c r="C2359" s="610"/>
      <c r="D2359" s="611" t="s">
        <v>256</v>
      </c>
      <c r="E2359" s="602"/>
      <c r="F2359" s="603">
        <v>180</v>
      </c>
      <c r="G2359" s="604">
        <f>VLOOKUP(D2357,'ENSAIOS DE ORÇAMENTO'!$C$3:$L$79,5,FALSE)</f>
        <v>3.5097804149999998</v>
      </c>
      <c r="H2359" s="605">
        <f>IF(F2359=0,0,IF(F2359&lt;=30,(0.7*F2359+1.45)*G2359,((0.7*30+1.45)+0.58*(F2359-30))*G2359))</f>
        <v>384.14546642174997</v>
      </c>
      <c r="I2359" s="675"/>
      <c r="J2359" s="675"/>
      <c r="K2359" s="606">
        <f t="shared" si="463"/>
        <v>0</v>
      </c>
      <c r="L2359" s="607"/>
      <c r="M2359" s="614"/>
      <c r="N2359" s="614"/>
      <c r="O2359" s="287">
        <f t="shared" si="465"/>
        <v>0</v>
      </c>
      <c r="P2359" s="287">
        <f t="shared" si="466"/>
        <v>0</v>
      </c>
      <c r="Q2359" s="288"/>
      <c r="R2359" s="315" t="str">
        <f>IF(P2357&gt;0,"xy","")</f>
        <v/>
      </c>
      <c r="S2359" s="385" t="str">
        <f t="shared" si="462"/>
        <v/>
      </c>
    </row>
    <row r="2360" spans="2:19" ht="13.5" hidden="1" thickBot="1">
      <c r="B2360" s="609" t="s">
        <v>168</v>
      </c>
      <c r="C2360" s="610"/>
      <c r="D2360" s="611" t="s">
        <v>260</v>
      </c>
      <c r="E2360" s="602"/>
      <c r="F2360" s="603">
        <v>20</v>
      </c>
      <c r="G2360" s="604">
        <f>VLOOKUP(D2357,'ENSAIOS DE ORÇAMENTO'!$C$3:$L$79,6,FALSE)</f>
        <v>4.18982265</v>
      </c>
      <c r="H2360" s="605">
        <f>IF(F2360=0,0,IF(F2360&lt;=30,(0.7*F2360+1.45)*G2360,((0.7*30+1.45)+0.58*(F2360-30))*G2360))</f>
        <v>64.732759942499996</v>
      </c>
      <c r="I2360" s="675"/>
      <c r="J2360" s="675"/>
      <c r="K2360" s="606">
        <f t="shared" si="463"/>
        <v>0</v>
      </c>
      <c r="L2360" s="607"/>
      <c r="M2360" s="614"/>
      <c r="N2360" s="614"/>
      <c r="O2360" s="287">
        <f t="shared" si="465"/>
        <v>0</v>
      </c>
      <c r="P2360" s="287">
        <f t="shared" si="466"/>
        <v>0</v>
      </c>
      <c r="Q2360" s="288"/>
      <c r="R2360" s="243" t="str">
        <f>IF(P2357&gt;0,"xy","")</f>
        <v/>
      </c>
      <c r="S2360" s="385" t="str">
        <f t="shared" si="462"/>
        <v/>
      </c>
    </row>
    <row r="2361" spans="2:19" ht="13.5" hidden="1" thickBot="1">
      <c r="B2361" s="609" t="s">
        <v>168</v>
      </c>
      <c r="C2361" s="610"/>
      <c r="D2361" s="611" t="s">
        <v>417</v>
      </c>
      <c r="E2361" s="602"/>
      <c r="F2361" s="603">
        <v>30</v>
      </c>
      <c r="G2361" s="604">
        <f>VLOOKUP(D2357,'ENSAIOS DE ORÇAMENTO'!$C$3:$L$79,3,FALSE)</f>
        <v>0</v>
      </c>
      <c r="H2361" s="605">
        <f>IF(F2361=0,0,IF(F2361&lt;=30,(0.7*F2361+1.45)*G2361,((0.7*30+1.45)+0.58*(F2361-30))*G2361))</f>
        <v>0</v>
      </c>
      <c r="I2361" s="675"/>
      <c r="J2361" s="675"/>
      <c r="K2361" s="606">
        <f t="shared" si="463"/>
        <v>0</v>
      </c>
      <c r="L2361" s="607"/>
      <c r="M2361" s="614"/>
      <c r="N2361" s="614"/>
      <c r="O2361" s="287">
        <f t="shared" si="465"/>
        <v>0</v>
      </c>
      <c r="P2361" s="287">
        <f t="shared" si="466"/>
        <v>0</v>
      </c>
      <c r="Q2361" s="288"/>
      <c r="R2361" s="315" t="str">
        <f>IF(P2357&gt;0,"xy","")</f>
        <v/>
      </c>
      <c r="S2361" s="385" t="str">
        <f t="shared" si="462"/>
        <v/>
      </c>
    </row>
    <row r="2362" spans="2:19" ht="13.5" hidden="1" thickBot="1">
      <c r="B2362" s="609" t="s">
        <v>168</v>
      </c>
      <c r="C2362" s="610"/>
      <c r="D2362" s="611" t="s">
        <v>418</v>
      </c>
      <c r="E2362" s="602"/>
      <c r="F2362" s="603">
        <v>500</v>
      </c>
      <c r="G2362" s="604">
        <f>VLOOKUP(D2357,'ENSAIOS DE ORÇAMENTO'!$C$3:$L$79,10,FALSE)</f>
        <v>0</v>
      </c>
      <c r="H2362" s="605">
        <f>IF(F2362=0,0,IF(F2362&lt;=30,(0.7*F2362+1.45)*G2362,((0.7*30+1.45)+0.58*(F2362-30))*G2362))</f>
        <v>0</v>
      </c>
      <c r="I2362" s="675"/>
      <c r="J2362" s="675"/>
      <c r="K2362" s="606">
        <f t="shared" si="463"/>
        <v>0</v>
      </c>
      <c r="L2362" s="607"/>
      <c r="M2362" s="614"/>
      <c r="N2362" s="614"/>
      <c r="O2362" s="287">
        <f t="shared" si="465"/>
        <v>0</v>
      </c>
      <c r="P2362" s="287">
        <f t="shared" si="466"/>
        <v>0</v>
      </c>
      <c r="Q2362" s="288"/>
      <c r="R2362" s="315" t="str">
        <f>IF(P2357&gt;0,"xy","")</f>
        <v/>
      </c>
      <c r="S2362" s="385" t="str">
        <f t="shared" si="462"/>
        <v/>
      </c>
    </row>
    <row r="2363" spans="2:19" ht="13.5" hidden="1" thickBot="1">
      <c r="B2363" s="609" t="s">
        <v>45</v>
      </c>
      <c r="C2363" s="610" t="s">
        <v>212</v>
      </c>
      <c r="D2363" s="611" t="s">
        <v>438</v>
      </c>
      <c r="E2363" s="602"/>
      <c r="F2363" s="603"/>
      <c r="G2363" s="604"/>
      <c r="H2363" s="605">
        <f>SUM(H2364:H2368)</f>
        <v>1121.20605987525</v>
      </c>
      <c r="I2363" s="675">
        <f>VLOOKUP(D2363,'ENSAIOS DE ORÇAMENTO'!$C$3:$L$79,8,FALSE)</f>
        <v>11450.372339149999</v>
      </c>
      <c r="J2363" s="675">
        <f t="shared" ref="J2363" si="474">IF(ISBLANK(I2363),"",SUM(H2363:I2363))</f>
        <v>12571.578399025249</v>
      </c>
      <c r="K2363" s="606">
        <f t="shared" si="463"/>
        <v>15255.61</v>
      </c>
      <c r="L2363" s="607" t="s">
        <v>21</v>
      </c>
      <c r="M2363" s="30"/>
      <c r="N2363" s="30"/>
      <c r="O2363" s="287">
        <f t="shared" si="465"/>
        <v>0</v>
      </c>
      <c r="P2363" s="287">
        <f t="shared" si="466"/>
        <v>0</v>
      </c>
      <c r="Q2363" s="288"/>
      <c r="S2363" s="385" t="str">
        <f t="shared" si="462"/>
        <v/>
      </c>
    </row>
    <row r="2364" spans="2:19" ht="13.5" hidden="1" thickBot="1">
      <c r="B2364" s="609" t="s">
        <v>168</v>
      </c>
      <c r="C2364" s="610"/>
      <c r="D2364" s="611" t="s">
        <v>218</v>
      </c>
      <c r="E2364" s="602"/>
      <c r="F2364" s="603">
        <v>500</v>
      </c>
      <c r="G2364" s="604">
        <f>VLOOKUP(D2363,'ENSAIOS DE ORÇAMENTO'!$C$3:$L$79,4,FALSE)</f>
        <v>1.9087789500000001</v>
      </c>
      <c r="H2364" s="605">
        <f>IF(F2364&lt;=30,(0.51*F2364+4.28)*G2364,((0.51*30+4.28)+0.42*(F2364-30))*G2364)</f>
        <v>414.16685657100004</v>
      </c>
      <c r="I2364" s="675"/>
      <c r="J2364" s="675"/>
      <c r="K2364" s="606">
        <f t="shared" si="463"/>
        <v>0</v>
      </c>
      <c r="L2364" s="607"/>
      <c r="M2364" s="614"/>
      <c r="N2364" s="614"/>
      <c r="O2364" s="287">
        <f t="shared" si="465"/>
        <v>0</v>
      </c>
      <c r="P2364" s="287">
        <f t="shared" si="466"/>
        <v>0</v>
      </c>
      <c r="Q2364" s="288"/>
      <c r="R2364" s="315" t="str">
        <f>IF(P2363&gt;0,"xy","")</f>
        <v/>
      </c>
      <c r="S2364" s="385" t="str">
        <f t="shared" si="462"/>
        <v/>
      </c>
    </row>
    <row r="2365" spans="2:19" ht="13.5" hidden="1" thickBot="1">
      <c r="B2365" s="609" t="s">
        <v>168</v>
      </c>
      <c r="C2365" s="610"/>
      <c r="D2365" s="611" t="s">
        <v>256</v>
      </c>
      <c r="E2365" s="602"/>
      <c r="F2365" s="603">
        <v>180</v>
      </c>
      <c r="G2365" s="604">
        <f>VLOOKUP(D2363,'ENSAIOS DE ORÇAMENTO'!$C$3:$L$79,5,FALSE)</f>
        <v>5.5279776150000002</v>
      </c>
      <c r="H2365" s="605">
        <f>IF(F2365=0,0,IF(F2365&lt;=30,(0.7*F2365+1.45)*G2365,((0.7*30+1.45)+0.58*(F2365-30))*G2365))</f>
        <v>605.03714996175006</v>
      </c>
      <c r="I2365" s="675"/>
      <c r="J2365" s="675"/>
      <c r="K2365" s="606">
        <f t="shared" si="463"/>
        <v>0</v>
      </c>
      <c r="L2365" s="607"/>
      <c r="M2365" s="614"/>
      <c r="N2365" s="614"/>
      <c r="O2365" s="287">
        <f t="shared" si="465"/>
        <v>0</v>
      </c>
      <c r="P2365" s="287">
        <f t="shared" si="466"/>
        <v>0</v>
      </c>
      <c r="Q2365" s="288"/>
      <c r="R2365" s="315" t="str">
        <f>IF(P2363&gt;0,"xy","")</f>
        <v/>
      </c>
      <c r="S2365" s="385" t="str">
        <f t="shared" si="462"/>
        <v/>
      </c>
    </row>
    <row r="2366" spans="2:19" ht="13.5" hidden="1" thickBot="1">
      <c r="B2366" s="609" t="s">
        <v>168</v>
      </c>
      <c r="C2366" s="610"/>
      <c r="D2366" s="611" t="s">
        <v>260</v>
      </c>
      <c r="E2366" s="602"/>
      <c r="F2366" s="603">
        <v>20</v>
      </c>
      <c r="G2366" s="604">
        <f>VLOOKUP(D2363,'ENSAIOS DE ORÇAMENTO'!$C$3:$L$79,6,FALSE)</f>
        <v>6.6020746500000005</v>
      </c>
      <c r="H2366" s="605">
        <f>IF(F2366=0,0,IF(F2366&lt;=30,(0.7*F2366+1.45)*G2366,((0.7*30+1.45)+0.58*(F2366-30))*G2366))</f>
        <v>102.00205334250001</v>
      </c>
      <c r="I2366" s="675"/>
      <c r="J2366" s="675"/>
      <c r="K2366" s="606">
        <f t="shared" si="463"/>
        <v>0</v>
      </c>
      <c r="L2366" s="607"/>
      <c r="M2366" s="614"/>
      <c r="N2366" s="614"/>
      <c r="O2366" s="287">
        <f t="shared" si="465"/>
        <v>0</v>
      </c>
      <c r="P2366" s="287">
        <f t="shared" si="466"/>
        <v>0</v>
      </c>
      <c r="Q2366" s="288"/>
      <c r="R2366" s="243" t="str">
        <f>IF(P2363&gt;0,"xy","")</f>
        <v/>
      </c>
      <c r="S2366" s="385" t="str">
        <f t="shared" si="462"/>
        <v/>
      </c>
    </row>
    <row r="2367" spans="2:19" ht="13.5" hidden="1" thickBot="1">
      <c r="B2367" s="609" t="s">
        <v>168</v>
      </c>
      <c r="C2367" s="610"/>
      <c r="D2367" s="611" t="s">
        <v>417</v>
      </c>
      <c r="E2367" s="602"/>
      <c r="F2367" s="603">
        <v>30</v>
      </c>
      <c r="G2367" s="604">
        <f>VLOOKUP(D2363,'ENSAIOS DE ORÇAMENTO'!$C$3:$L$79,3,FALSE)</f>
        <v>0</v>
      </c>
      <c r="H2367" s="605">
        <f>IF(F2367=0,0,IF(F2367&lt;=30,(0.7*F2367+1.45)*G2367,((0.7*30+1.45)+0.58*(F2367-30))*G2367))</f>
        <v>0</v>
      </c>
      <c r="I2367" s="675"/>
      <c r="J2367" s="675"/>
      <c r="K2367" s="606">
        <f t="shared" si="463"/>
        <v>0</v>
      </c>
      <c r="L2367" s="607"/>
      <c r="M2367" s="614"/>
      <c r="N2367" s="614"/>
      <c r="O2367" s="287">
        <f t="shared" si="465"/>
        <v>0</v>
      </c>
      <c r="P2367" s="287">
        <f t="shared" si="466"/>
        <v>0</v>
      </c>
      <c r="Q2367" s="288"/>
      <c r="R2367" s="315" t="str">
        <f>IF(P2363&gt;0,"xy","")</f>
        <v/>
      </c>
      <c r="S2367" s="385" t="str">
        <f t="shared" si="462"/>
        <v/>
      </c>
    </row>
    <row r="2368" spans="2:19" ht="13.5" hidden="1" thickBot="1">
      <c r="B2368" s="609" t="s">
        <v>168</v>
      </c>
      <c r="C2368" s="610"/>
      <c r="D2368" s="611" t="s">
        <v>418</v>
      </c>
      <c r="E2368" s="602"/>
      <c r="F2368" s="603">
        <v>500</v>
      </c>
      <c r="G2368" s="604">
        <f>VLOOKUP(D2363,'ENSAIOS DE ORÇAMENTO'!$C$3:$L$79,10,FALSE)</f>
        <v>0</v>
      </c>
      <c r="H2368" s="605">
        <f>IF(F2368=0,0,IF(F2368&lt;=30,(0.7*F2368+1.45)*G2368,((0.7*30+1.45)+0.58*(F2368-30))*G2368))</f>
        <v>0</v>
      </c>
      <c r="I2368" s="675"/>
      <c r="J2368" s="675"/>
      <c r="K2368" s="606">
        <f t="shared" si="463"/>
        <v>0</v>
      </c>
      <c r="L2368" s="607"/>
      <c r="M2368" s="614"/>
      <c r="N2368" s="614"/>
      <c r="O2368" s="287">
        <f t="shared" si="465"/>
        <v>0</v>
      </c>
      <c r="P2368" s="287">
        <f t="shared" si="466"/>
        <v>0</v>
      </c>
      <c r="Q2368" s="288"/>
      <c r="R2368" s="315" t="str">
        <f>IF(P2363&gt;0,"xy","")</f>
        <v/>
      </c>
      <c r="S2368" s="385" t="str">
        <f t="shared" si="462"/>
        <v/>
      </c>
    </row>
    <row r="2369" spans="2:19" ht="13.5" hidden="1" thickBot="1">
      <c r="B2369" s="609" t="s">
        <v>133</v>
      </c>
      <c r="C2369" s="610" t="s">
        <v>212</v>
      </c>
      <c r="D2369" s="611" t="s">
        <v>145</v>
      </c>
      <c r="E2369" s="602"/>
      <c r="F2369" s="603"/>
      <c r="G2369" s="604"/>
      <c r="H2369" s="605">
        <f>SUM(H2370:H2374)</f>
        <v>241.28776068100004</v>
      </c>
      <c r="I2369" s="675">
        <f>VLOOKUP(D2369,'ENSAIOS DE ORÇAMENTO'!$C$3:$L$79,8,FALSE)</f>
        <v>2080.0031349999999</v>
      </c>
      <c r="J2369" s="675">
        <f t="shared" ref="J2369" si="475">IF(ISBLANK(I2369),"",SUM(H2369:I2369))</f>
        <v>2321.2908956810002</v>
      </c>
      <c r="K2369" s="606">
        <f t="shared" si="463"/>
        <v>2816.89</v>
      </c>
      <c r="L2369" s="607" t="s">
        <v>21</v>
      </c>
      <c r="M2369" s="30"/>
      <c r="N2369" s="30"/>
      <c r="O2369" s="287">
        <f t="shared" si="465"/>
        <v>0</v>
      </c>
      <c r="P2369" s="287">
        <f t="shared" si="466"/>
        <v>0</v>
      </c>
      <c r="Q2369" s="288"/>
      <c r="S2369" s="385" t="str">
        <f t="shared" si="462"/>
        <v/>
      </c>
    </row>
    <row r="2370" spans="2:19" ht="13.5" hidden="1" thickBot="1">
      <c r="B2370" s="609" t="s">
        <v>168</v>
      </c>
      <c r="C2370" s="610"/>
      <c r="D2370" s="611" t="s">
        <v>218</v>
      </c>
      <c r="E2370" s="602"/>
      <c r="F2370" s="603">
        <v>500</v>
      </c>
      <c r="G2370" s="604">
        <f>VLOOKUP(D2369,'ENSAIOS DE ORÇAMENTO'!$C$3:$L$79,4,FALSE)</f>
        <v>0.35276220000000008</v>
      </c>
      <c r="H2370" s="605">
        <f>IF(F2370&lt;=30,(0.51*F2370+4.28)*G2370,((0.51*30+4.28)+0.42*(F2370-30))*G2370)</f>
        <v>76.542342156000018</v>
      </c>
      <c r="I2370" s="675"/>
      <c r="J2370" s="675"/>
      <c r="K2370" s="606">
        <f t="shared" si="463"/>
        <v>0</v>
      </c>
      <c r="L2370" s="607"/>
      <c r="M2370" s="614"/>
      <c r="N2370" s="614"/>
      <c r="O2370" s="287">
        <f t="shared" si="465"/>
        <v>0</v>
      </c>
      <c r="P2370" s="287">
        <f t="shared" si="466"/>
        <v>0</v>
      </c>
      <c r="Q2370" s="288"/>
      <c r="R2370" s="315" t="str">
        <f>IF(P2369&gt;0,"xy","")</f>
        <v/>
      </c>
      <c r="S2370" s="385" t="str">
        <f t="shared" si="462"/>
        <v/>
      </c>
    </row>
    <row r="2371" spans="2:19" ht="13.5" hidden="1" thickBot="1">
      <c r="B2371" s="609" t="s">
        <v>168</v>
      </c>
      <c r="C2371" s="610"/>
      <c r="D2371" s="611" t="s">
        <v>256</v>
      </c>
      <c r="E2371" s="602"/>
      <c r="F2371" s="603">
        <v>180</v>
      </c>
      <c r="G2371" s="604">
        <f>VLOOKUP(D2369,'ENSAIOS DE ORÇAMENTO'!$C$3:$L$79,5,FALSE)</f>
        <v>1.1888125000000003</v>
      </c>
      <c r="H2371" s="605">
        <f>IF(F2371=0,0,IF(F2371&lt;=30,(0.7*F2371+1.45)*G2371,((0.7*30+1.45)+0.58*(F2371-30))*G2371))</f>
        <v>130.11552812500003</v>
      </c>
      <c r="I2371" s="675"/>
      <c r="J2371" s="675"/>
      <c r="K2371" s="606">
        <f t="shared" si="463"/>
        <v>0</v>
      </c>
      <c r="L2371" s="607"/>
      <c r="M2371" s="614"/>
      <c r="N2371" s="614"/>
      <c r="O2371" s="287">
        <f t="shared" si="465"/>
        <v>0</v>
      </c>
      <c r="P2371" s="287">
        <f t="shared" si="466"/>
        <v>0</v>
      </c>
      <c r="Q2371" s="288"/>
      <c r="R2371" s="315" t="str">
        <f>IF(P2369&gt;0,"xy","")</f>
        <v/>
      </c>
      <c r="S2371" s="385" t="str">
        <f t="shared" si="462"/>
        <v/>
      </c>
    </row>
    <row r="2372" spans="2:19" ht="13.5" hidden="1" thickBot="1">
      <c r="B2372" s="609" t="s">
        <v>168</v>
      </c>
      <c r="C2372" s="610"/>
      <c r="D2372" s="611" t="s">
        <v>260</v>
      </c>
      <c r="E2372" s="602"/>
      <c r="F2372" s="603">
        <v>20</v>
      </c>
      <c r="G2372" s="604">
        <f>VLOOKUP(D2369,'ENSAIOS DE ORÇAMENTO'!$C$3:$L$79,6,FALSE)</f>
        <v>1.1100000000000001</v>
      </c>
      <c r="H2372" s="605">
        <f>IF(F2372=0,0,IF(F2372&lt;=30,(0.7*F2372+1.45)*G2372,((0.7*30+1.45)+0.58*(F2372-30))*G2372))</f>
        <v>17.1495</v>
      </c>
      <c r="I2372" s="675"/>
      <c r="J2372" s="675"/>
      <c r="K2372" s="606">
        <f t="shared" si="463"/>
        <v>0</v>
      </c>
      <c r="L2372" s="607"/>
      <c r="M2372" s="614"/>
      <c r="N2372" s="614"/>
      <c r="O2372" s="287">
        <f t="shared" si="465"/>
        <v>0</v>
      </c>
      <c r="P2372" s="287">
        <f t="shared" si="466"/>
        <v>0</v>
      </c>
      <c r="Q2372" s="288"/>
      <c r="R2372" s="243" t="str">
        <f>IF(P2369&gt;0,"xy","")</f>
        <v/>
      </c>
      <c r="S2372" s="385" t="str">
        <f t="shared" si="462"/>
        <v/>
      </c>
    </row>
    <row r="2373" spans="2:19" ht="13.5" hidden="1" thickBot="1">
      <c r="B2373" s="609" t="s">
        <v>168</v>
      </c>
      <c r="C2373" s="610"/>
      <c r="D2373" s="611" t="s">
        <v>417</v>
      </c>
      <c r="E2373" s="602"/>
      <c r="F2373" s="603">
        <v>30</v>
      </c>
      <c r="G2373" s="604">
        <f>VLOOKUP(D2369,'ENSAIOS DE ORÇAMENTO'!$C$3:$L$79,3,FALSE)</f>
        <v>0.54144000000000003</v>
      </c>
      <c r="H2373" s="605">
        <f>IF(F2373=0,0,IF(F2373&lt;=30,(0.7*F2373+1.45)*G2373,((0.7*30+1.45)+0.58*(F2373-30))*G2373))</f>
        <v>12.155328000000001</v>
      </c>
      <c r="I2373" s="675"/>
      <c r="J2373" s="675"/>
      <c r="K2373" s="606">
        <f t="shared" si="463"/>
        <v>0</v>
      </c>
      <c r="L2373" s="607"/>
      <c r="M2373" s="614"/>
      <c r="N2373" s="614"/>
      <c r="O2373" s="287">
        <f t="shared" si="465"/>
        <v>0</v>
      </c>
      <c r="P2373" s="287">
        <f t="shared" si="466"/>
        <v>0</v>
      </c>
      <c r="Q2373" s="288"/>
      <c r="R2373" s="315" t="str">
        <f>IF(P2369&gt;0,"xy","")</f>
        <v/>
      </c>
      <c r="S2373" s="385" t="str">
        <f t="shared" si="462"/>
        <v/>
      </c>
    </row>
    <row r="2374" spans="2:19" ht="13.5" hidden="1" thickBot="1">
      <c r="B2374" s="609" t="s">
        <v>168</v>
      </c>
      <c r="C2374" s="610"/>
      <c r="D2374" s="611" t="s">
        <v>418</v>
      </c>
      <c r="E2374" s="602"/>
      <c r="F2374" s="603">
        <v>500</v>
      </c>
      <c r="G2374" s="604">
        <f>VLOOKUP(D2369,'ENSAIOS DE ORÇAMENTO'!$C$3:$L$79,10,FALSE)</f>
        <v>1.8048000000000002E-2</v>
      </c>
      <c r="H2374" s="605">
        <f>IF(F2374=0,0,IF(F2374&lt;=30,(0.7*F2374+1.45)*G2374,((0.7*30+1.45)+0.58*(F2374-30))*G2374))</f>
        <v>5.3250623999999993</v>
      </c>
      <c r="I2374" s="675"/>
      <c r="J2374" s="675"/>
      <c r="K2374" s="606">
        <f t="shared" si="463"/>
        <v>0</v>
      </c>
      <c r="L2374" s="607"/>
      <c r="M2374" s="614"/>
      <c r="N2374" s="614"/>
      <c r="O2374" s="287">
        <f t="shared" si="465"/>
        <v>0</v>
      </c>
      <c r="P2374" s="287">
        <f t="shared" si="466"/>
        <v>0</v>
      </c>
      <c r="Q2374" s="288"/>
      <c r="R2374" s="315" t="str">
        <f>IF(P2369&gt;0,"xy","")</f>
        <v/>
      </c>
      <c r="S2374" s="385" t="str">
        <f t="shared" si="462"/>
        <v/>
      </c>
    </row>
    <row r="2375" spans="2:19" ht="13.5" hidden="1" thickBot="1">
      <c r="B2375" s="609" t="s">
        <v>134</v>
      </c>
      <c r="C2375" s="610" t="s">
        <v>212</v>
      </c>
      <c r="D2375" s="611" t="s">
        <v>146</v>
      </c>
      <c r="E2375" s="602"/>
      <c r="F2375" s="603"/>
      <c r="G2375" s="604"/>
      <c r="H2375" s="605">
        <f>SUM(H2376:H2380)</f>
        <v>274.02869882799996</v>
      </c>
      <c r="I2375" s="675">
        <f>VLOOKUP(D2375,'ENSAIOS DE ORÇAMENTO'!$C$3:$L$79,8,FALSE)</f>
        <v>2257.2565800000002</v>
      </c>
      <c r="J2375" s="675">
        <f t="shared" ref="J2375" si="476">IF(ISBLANK(I2375),"",SUM(H2375:I2375))</f>
        <v>2531.2852788280002</v>
      </c>
      <c r="K2375" s="606">
        <f t="shared" si="463"/>
        <v>3071.71</v>
      </c>
      <c r="L2375" s="607" t="s">
        <v>21</v>
      </c>
      <c r="M2375" s="30"/>
      <c r="N2375" s="30"/>
      <c r="O2375" s="287">
        <f t="shared" si="465"/>
        <v>0</v>
      </c>
      <c r="P2375" s="287">
        <f t="shared" si="466"/>
        <v>0</v>
      </c>
      <c r="Q2375" s="288"/>
      <c r="S2375" s="385" t="str">
        <f t="shared" si="462"/>
        <v/>
      </c>
    </row>
    <row r="2376" spans="2:19" ht="13.5" hidden="1" thickBot="1">
      <c r="B2376" s="609" t="s">
        <v>168</v>
      </c>
      <c r="C2376" s="610"/>
      <c r="D2376" s="611" t="s">
        <v>218</v>
      </c>
      <c r="E2376" s="602"/>
      <c r="F2376" s="603">
        <v>500</v>
      </c>
      <c r="G2376" s="604">
        <f>VLOOKUP(D2375,'ENSAIOS DE ORÇAMENTO'!$C$3:$L$79,4,FALSE)</f>
        <v>0.38489359999999995</v>
      </c>
      <c r="H2376" s="605">
        <f>IF(F2376&lt;=30,(0.51*F2376+4.28)*G2376,((0.51*30+4.28)+0.42*(F2376-30))*G2376)</f>
        <v>83.514213327999997</v>
      </c>
      <c r="I2376" s="675"/>
      <c r="J2376" s="675"/>
      <c r="K2376" s="606">
        <f t="shared" si="463"/>
        <v>0</v>
      </c>
      <c r="L2376" s="607"/>
      <c r="M2376" s="614"/>
      <c r="N2376" s="614"/>
      <c r="O2376" s="287">
        <f t="shared" si="465"/>
        <v>0</v>
      </c>
      <c r="P2376" s="287">
        <f t="shared" si="466"/>
        <v>0</v>
      </c>
      <c r="Q2376" s="288"/>
      <c r="R2376" s="315" t="str">
        <f>IF(P2375&gt;0,"xy","")</f>
        <v/>
      </c>
      <c r="S2376" s="385" t="str">
        <f t="shared" ref="S2376:S2439" si="477">IF(R2376="x","x",IF(R2376="y","x",IF(R2376="xy","x",IF(P2376&gt;0,"x",""))))</f>
        <v/>
      </c>
    </row>
    <row r="2377" spans="2:19" ht="13.5" hidden="1" thickBot="1">
      <c r="B2377" s="609" t="s">
        <v>168</v>
      </c>
      <c r="C2377" s="610"/>
      <c r="D2377" s="611" t="s">
        <v>256</v>
      </c>
      <c r="E2377" s="602"/>
      <c r="F2377" s="603">
        <v>180</v>
      </c>
      <c r="G2377" s="604">
        <f>VLOOKUP(D2375,'ENSAIOS DE ORÇAMENTO'!$C$3:$L$79,5,FALSE)</f>
        <v>1.3499699999999999</v>
      </c>
      <c r="H2377" s="605">
        <f>IF(F2377=0,0,IF(F2377&lt;=30,(0.7*F2377+1.45)*G2377,((0.7*30+1.45)+0.58*(F2377-30))*G2377))</f>
        <v>147.75421649999998</v>
      </c>
      <c r="I2377" s="675"/>
      <c r="J2377" s="675"/>
      <c r="K2377" s="606">
        <f t="shared" ref="K2377:K2440" si="478">IF(ISBLANK(I2377),0,ROUND(J2377*(1+$F$10)*(1+$F$11*E2377),2))</f>
        <v>0</v>
      </c>
      <c r="L2377" s="607"/>
      <c r="M2377" s="614"/>
      <c r="N2377" s="614"/>
      <c r="O2377" s="287">
        <f t="shared" si="465"/>
        <v>0</v>
      </c>
      <c r="P2377" s="287">
        <f t="shared" si="466"/>
        <v>0</v>
      </c>
      <c r="Q2377" s="288"/>
      <c r="R2377" s="315" t="str">
        <f>IF(P2375&gt;0,"xy","")</f>
        <v/>
      </c>
      <c r="S2377" s="385" t="str">
        <f t="shared" si="477"/>
        <v/>
      </c>
    </row>
    <row r="2378" spans="2:19" ht="13.5" hidden="1" thickBot="1">
      <c r="B2378" s="609" t="s">
        <v>168</v>
      </c>
      <c r="C2378" s="610"/>
      <c r="D2378" s="611" t="s">
        <v>260</v>
      </c>
      <c r="E2378" s="602"/>
      <c r="F2378" s="603">
        <v>20</v>
      </c>
      <c r="G2378" s="604">
        <f>VLOOKUP(D2375,'ENSAIOS DE ORÇAMENTO'!$C$3:$L$79,6,FALSE)</f>
        <v>1.1766000000000001</v>
      </c>
      <c r="H2378" s="605">
        <f>IF(F2378=0,0,IF(F2378&lt;=30,(0.7*F2378+1.45)*G2378,((0.7*30+1.45)+0.58*(F2378-30))*G2378))</f>
        <v>18.178470000000001</v>
      </c>
      <c r="I2378" s="675"/>
      <c r="J2378" s="675"/>
      <c r="K2378" s="606">
        <f t="shared" si="478"/>
        <v>0</v>
      </c>
      <c r="L2378" s="607"/>
      <c r="M2378" s="614"/>
      <c r="N2378" s="614"/>
      <c r="O2378" s="287">
        <f t="shared" si="465"/>
        <v>0</v>
      </c>
      <c r="P2378" s="287">
        <f t="shared" si="466"/>
        <v>0</v>
      </c>
      <c r="Q2378" s="288"/>
      <c r="R2378" s="243" t="str">
        <f>IF(P2375&gt;0,"xy","")</f>
        <v/>
      </c>
      <c r="S2378" s="385" t="str">
        <f t="shared" si="477"/>
        <v/>
      </c>
    </row>
    <row r="2379" spans="2:19" ht="13.5" hidden="1" thickBot="1">
      <c r="B2379" s="609" t="s">
        <v>168</v>
      </c>
      <c r="C2379" s="610"/>
      <c r="D2379" s="611" t="s">
        <v>417</v>
      </c>
      <c r="E2379" s="602"/>
      <c r="F2379" s="603">
        <v>30</v>
      </c>
      <c r="G2379" s="604">
        <f>VLOOKUP(D2375,'ENSAIOS DE ORÇAMENTO'!$C$3:$L$79,3,FALSE)</f>
        <v>0.76139999999999997</v>
      </c>
      <c r="H2379" s="605">
        <f>IF(F2379=0,0,IF(F2379&lt;=30,(0.7*F2379+1.45)*G2379,((0.7*30+1.45)+0.58*(F2379-30))*G2379))</f>
        <v>17.093429999999998</v>
      </c>
      <c r="I2379" s="675"/>
      <c r="J2379" s="675"/>
      <c r="K2379" s="606">
        <f t="shared" si="478"/>
        <v>0</v>
      </c>
      <c r="L2379" s="607"/>
      <c r="M2379" s="614"/>
      <c r="N2379" s="614"/>
      <c r="O2379" s="287">
        <f t="shared" ref="O2379:O2442" si="479">IF(ISBLANK(M2379),0,ROUND(K2379*M2379,2))</f>
        <v>0</v>
      </c>
      <c r="P2379" s="287">
        <f t="shared" ref="P2379:P2442" si="480">IF(ISBLANK(N2379),0,ROUND(M2379*N2379,2))</f>
        <v>0</v>
      </c>
      <c r="Q2379" s="288"/>
      <c r="R2379" s="315" t="str">
        <f>IF(P2375&gt;0,"xy","")</f>
        <v/>
      </c>
      <c r="S2379" s="385" t="str">
        <f t="shared" si="477"/>
        <v/>
      </c>
    </row>
    <row r="2380" spans="2:19" ht="13.5" hidden="1" thickBot="1">
      <c r="B2380" s="609" t="s">
        <v>168</v>
      </c>
      <c r="C2380" s="610"/>
      <c r="D2380" s="611" t="s">
        <v>418</v>
      </c>
      <c r="E2380" s="602"/>
      <c r="F2380" s="603">
        <v>500</v>
      </c>
      <c r="G2380" s="604">
        <f>VLOOKUP(D2375,'ENSAIOS DE ORÇAMENTO'!$C$3:$L$79,10,FALSE)</f>
        <v>2.538E-2</v>
      </c>
      <c r="H2380" s="605">
        <f>IF(F2380=0,0,IF(F2380&lt;=30,(0.7*F2380+1.45)*G2380,((0.7*30+1.45)+0.58*(F2380-30))*G2380))</f>
        <v>7.4883689999999987</v>
      </c>
      <c r="I2380" s="675"/>
      <c r="J2380" s="675"/>
      <c r="K2380" s="606">
        <f t="shared" si="478"/>
        <v>0</v>
      </c>
      <c r="L2380" s="607"/>
      <c r="M2380" s="614"/>
      <c r="N2380" s="614"/>
      <c r="O2380" s="287">
        <f t="shared" si="479"/>
        <v>0</v>
      </c>
      <c r="P2380" s="287">
        <f t="shared" si="480"/>
        <v>0</v>
      </c>
      <c r="Q2380" s="288"/>
      <c r="R2380" s="315" t="str">
        <f>IF(P2375&gt;0,"xy","")</f>
        <v/>
      </c>
      <c r="S2380" s="385" t="str">
        <f t="shared" si="477"/>
        <v/>
      </c>
    </row>
    <row r="2381" spans="2:19" ht="13.5" hidden="1" thickBot="1">
      <c r="B2381" s="609" t="s">
        <v>135</v>
      </c>
      <c r="C2381" s="610" t="s">
        <v>212</v>
      </c>
      <c r="D2381" s="611" t="s">
        <v>147</v>
      </c>
      <c r="E2381" s="602"/>
      <c r="F2381" s="603"/>
      <c r="G2381" s="604"/>
      <c r="H2381" s="605">
        <f>SUM(H2382:H2386)</f>
        <v>321.60453920200007</v>
      </c>
      <c r="I2381" s="675">
        <f>VLOOKUP(D2381,'ENSAIOS DE ORÇAMENTO'!$C$3:$L$79,8,FALSE)</f>
        <v>2520.3011699999997</v>
      </c>
      <c r="J2381" s="675">
        <f t="shared" ref="J2381" si="481">IF(ISBLANK(I2381),"",SUM(H2381:I2381))</f>
        <v>2841.9057092019998</v>
      </c>
      <c r="K2381" s="606">
        <f t="shared" si="478"/>
        <v>3448.65</v>
      </c>
      <c r="L2381" s="607" t="s">
        <v>21</v>
      </c>
      <c r="M2381" s="30"/>
      <c r="N2381" s="30"/>
      <c r="O2381" s="287">
        <f t="shared" si="479"/>
        <v>0</v>
      </c>
      <c r="P2381" s="287">
        <f t="shared" si="480"/>
        <v>0</v>
      </c>
      <c r="Q2381" s="288"/>
      <c r="S2381" s="385" t="str">
        <f t="shared" si="477"/>
        <v/>
      </c>
    </row>
    <row r="2382" spans="2:19" ht="13.5" hidden="1" thickBot="1">
      <c r="B2382" s="609" t="s">
        <v>168</v>
      </c>
      <c r="C2382" s="610"/>
      <c r="D2382" s="611" t="s">
        <v>218</v>
      </c>
      <c r="E2382" s="602"/>
      <c r="F2382" s="603">
        <v>500</v>
      </c>
      <c r="G2382" s="604">
        <f>VLOOKUP(D2381,'ENSAIOS DE ORÇAMENTO'!$C$3:$L$79,4,FALSE)</f>
        <v>0.43281240000000004</v>
      </c>
      <c r="H2382" s="605">
        <f>IF(F2382&lt;=30,(0.51*F2382+4.28)*G2382,((0.51*30+4.28)+0.42*(F2382-30))*G2382)</f>
        <v>93.911634552000024</v>
      </c>
      <c r="I2382" s="675"/>
      <c r="J2382" s="675"/>
      <c r="K2382" s="606">
        <f t="shared" si="478"/>
        <v>0</v>
      </c>
      <c r="L2382" s="607"/>
      <c r="M2382" s="614"/>
      <c r="N2382" s="614"/>
      <c r="O2382" s="287">
        <f t="shared" si="479"/>
        <v>0</v>
      </c>
      <c r="P2382" s="287">
        <f t="shared" si="480"/>
        <v>0</v>
      </c>
      <c r="Q2382" s="288"/>
      <c r="R2382" s="315" t="str">
        <f>IF(P2381&gt;0,"xy","")</f>
        <v/>
      </c>
      <c r="S2382" s="385" t="str">
        <f t="shared" si="477"/>
        <v/>
      </c>
    </row>
    <row r="2383" spans="2:19" ht="13.5" hidden="1" thickBot="1">
      <c r="B2383" s="609" t="s">
        <v>168</v>
      </c>
      <c r="C2383" s="610"/>
      <c r="D2383" s="611" t="s">
        <v>256</v>
      </c>
      <c r="E2383" s="602"/>
      <c r="F2383" s="603">
        <v>180</v>
      </c>
      <c r="G2383" s="604">
        <f>VLOOKUP(D2381,'ENSAIOS DE ORÇAMENTO'!$C$3:$L$79,5,FALSE)</f>
        <v>1.5797950000000001</v>
      </c>
      <c r="H2383" s="605">
        <f>IF(F2383=0,0,IF(F2383&lt;=30,(0.7*F2383+1.45)*G2383,((0.7*30+1.45)+0.58*(F2383-30))*G2383))</f>
        <v>172.90856275000002</v>
      </c>
      <c r="I2383" s="675"/>
      <c r="J2383" s="675"/>
      <c r="K2383" s="606">
        <f t="shared" si="478"/>
        <v>0</v>
      </c>
      <c r="L2383" s="607"/>
      <c r="M2383" s="614"/>
      <c r="N2383" s="614"/>
      <c r="O2383" s="287">
        <f t="shared" si="479"/>
        <v>0</v>
      </c>
      <c r="P2383" s="287">
        <f t="shared" si="480"/>
        <v>0</v>
      </c>
      <c r="Q2383" s="288"/>
      <c r="R2383" s="315" t="str">
        <f>IF(P2381&gt;0,"xy","")</f>
        <v/>
      </c>
      <c r="S2383" s="385" t="str">
        <f t="shared" si="477"/>
        <v/>
      </c>
    </row>
    <row r="2384" spans="2:19" ht="13.5" hidden="1" thickBot="1">
      <c r="B2384" s="609" t="s">
        <v>168</v>
      </c>
      <c r="C2384" s="610"/>
      <c r="D2384" s="611" t="s">
        <v>260</v>
      </c>
      <c r="E2384" s="602"/>
      <c r="F2384" s="603">
        <v>20</v>
      </c>
      <c r="G2384" s="604">
        <f>VLOOKUP(D2381,'ENSAIOS DE ORÇAMENTO'!$C$3:$L$79,6,FALSE)</f>
        <v>1.2654000000000003</v>
      </c>
      <c r="H2384" s="605">
        <f>IF(F2384=0,0,IF(F2384&lt;=30,(0.7*F2384+1.45)*G2384,((0.7*30+1.45)+0.58*(F2384-30))*G2384))</f>
        <v>19.550430000000002</v>
      </c>
      <c r="I2384" s="675"/>
      <c r="J2384" s="675"/>
      <c r="K2384" s="606">
        <f t="shared" si="478"/>
        <v>0</v>
      </c>
      <c r="L2384" s="607"/>
      <c r="M2384" s="614"/>
      <c r="N2384" s="614"/>
      <c r="O2384" s="287">
        <f t="shared" si="479"/>
        <v>0</v>
      </c>
      <c r="P2384" s="287">
        <f t="shared" si="480"/>
        <v>0</v>
      </c>
      <c r="Q2384" s="288"/>
      <c r="R2384" s="243" t="str">
        <f>IF(P2381&gt;0,"xy","")</f>
        <v/>
      </c>
      <c r="S2384" s="385" t="str">
        <f t="shared" si="477"/>
        <v/>
      </c>
    </row>
    <row r="2385" spans="2:19" ht="13.5" hidden="1" thickBot="1">
      <c r="B2385" s="609" t="s">
        <v>168</v>
      </c>
      <c r="C2385" s="610"/>
      <c r="D2385" s="611" t="s">
        <v>417</v>
      </c>
      <c r="E2385" s="602"/>
      <c r="F2385" s="603">
        <v>30</v>
      </c>
      <c r="G2385" s="604">
        <f>VLOOKUP(D2381,'ENSAIOS DE ORÇAMENTO'!$C$3:$L$79,3,FALSE)</f>
        <v>1.09134</v>
      </c>
      <c r="H2385" s="605">
        <f>IF(F2385=0,0,IF(F2385&lt;=30,(0.7*F2385+1.45)*G2385,((0.7*30+1.45)+0.58*(F2385-30))*G2385))</f>
        <v>24.500582999999999</v>
      </c>
      <c r="I2385" s="675"/>
      <c r="J2385" s="675"/>
      <c r="K2385" s="606">
        <f t="shared" si="478"/>
        <v>0</v>
      </c>
      <c r="L2385" s="607"/>
      <c r="M2385" s="614"/>
      <c r="N2385" s="614"/>
      <c r="O2385" s="287">
        <f t="shared" si="479"/>
        <v>0</v>
      </c>
      <c r="P2385" s="287">
        <f t="shared" si="480"/>
        <v>0</v>
      </c>
      <c r="Q2385" s="288"/>
      <c r="R2385" s="315" t="str">
        <f>IF(P2381&gt;0,"xy","")</f>
        <v/>
      </c>
      <c r="S2385" s="385" t="str">
        <f t="shared" si="477"/>
        <v/>
      </c>
    </row>
    <row r="2386" spans="2:19" ht="13.5" hidden="1" thickBot="1">
      <c r="B2386" s="609" t="s">
        <v>168</v>
      </c>
      <c r="C2386" s="610"/>
      <c r="D2386" s="611" t="s">
        <v>418</v>
      </c>
      <c r="E2386" s="602"/>
      <c r="F2386" s="603">
        <v>500</v>
      </c>
      <c r="G2386" s="604">
        <f>VLOOKUP(D2381,'ENSAIOS DE ORÇAMENTO'!$C$3:$L$79,10,FALSE)</f>
        <v>3.6378000000000001E-2</v>
      </c>
      <c r="H2386" s="605">
        <f>IF(F2386=0,0,IF(F2386&lt;=30,(0.7*F2386+1.45)*G2386,((0.7*30+1.45)+0.58*(F2386-30))*G2386))</f>
        <v>10.733328899999998</v>
      </c>
      <c r="I2386" s="675"/>
      <c r="J2386" s="675"/>
      <c r="K2386" s="606">
        <f t="shared" si="478"/>
        <v>0</v>
      </c>
      <c r="L2386" s="607"/>
      <c r="M2386" s="614"/>
      <c r="N2386" s="614"/>
      <c r="O2386" s="287">
        <f t="shared" si="479"/>
        <v>0</v>
      </c>
      <c r="P2386" s="287">
        <f t="shared" si="480"/>
        <v>0</v>
      </c>
      <c r="Q2386" s="288"/>
      <c r="R2386" s="315" t="str">
        <f>IF(P2381&gt;0,"xy","")</f>
        <v/>
      </c>
      <c r="S2386" s="385" t="str">
        <f t="shared" si="477"/>
        <v/>
      </c>
    </row>
    <row r="2387" spans="2:19" ht="13.5" hidden="1" thickBot="1">
      <c r="B2387" s="609" t="s">
        <v>46</v>
      </c>
      <c r="C2387" s="610" t="s">
        <v>212</v>
      </c>
      <c r="D2387" s="611" t="s">
        <v>148</v>
      </c>
      <c r="E2387" s="602"/>
      <c r="F2387" s="603"/>
      <c r="G2387" s="604"/>
      <c r="H2387" s="605">
        <f>SUM(H2388:H2392)</f>
        <v>351.78911100900012</v>
      </c>
      <c r="I2387" s="675">
        <f>VLOOKUP(D2387,'ENSAIOS DE ORÇAMENTO'!$C$3:$L$79,8,FALSE)</f>
        <v>2689.7708149999999</v>
      </c>
      <c r="J2387" s="675">
        <f t="shared" ref="J2387" si="482">IF(ISBLANK(I2387),"",SUM(H2387:I2387))</f>
        <v>3041.5599260089998</v>
      </c>
      <c r="K2387" s="606">
        <f t="shared" si="478"/>
        <v>3690.93</v>
      </c>
      <c r="L2387" s="607" t="s">
        <v>21</v>
      </c>
      <c r="M2387" s="30"/>
      <c r="N2387" s="30"/>
      <c r="O2387" s="287">
        <f t="shared" si="479"/>
        <v>0</v>
      </c>
      <c r="P2387" s="287">
        <f t="shared" si="480"/>
        <v>0</v>
      </c>
      <c r="Q2387" s="288"/>
      <c r="S2387" s="385" t="str">
        <f t="shared" si="477"/>
        <v/>
      </c>
    </row>
    <row r="2388" spans="2:19" ht="13.5" hidden="1" thickBot="1">
      <c r="B2388" s="609" t="s">
        <v>168</v>
      </c>
      <c r="C2388" s="610"/>
      <c r="D2388" s="611" t="s">
        <v>218</v>
      </c>
      <c r="E2388" s="602"/>
      <c r="F2388" s="603">
        <v>500</v>
      </c>
      <c r="G2388" s="604">
        <f>VLOOKUP(D2387,'ENSAIOS DE ORÇAMENTO'!$C$3:$L$79,4,FALSE)</f>
        <v>0.46255580000000002</v>
      </c>
      <c r="H2388" s="605">
        <f>IF(F2388&lt;=30,(0.51*F2388+4.28)*G2388,((0.51*30+4.28)+0.42*(F2388-30))*G2388)</f>
        <v>100.36535748400001</v>
      </c>
      <c r="I2388" s="675"/>
      <c r="J2388" s="675"/>
      <c r="K2388" s="606">
        <f t="shared" si="478"/>
        <v>0</v>
      </c>
      <c r="L2388" s="607"/>
      <c r="M2388" s="614"/>
      <c r="N2388" s="614"/>
      <c r="O2388" s="287">
        <f t="shared" si="479"/>
        <v>0</v>
      </c>
      <c r="P2388" s="287">
        <f t="shared" si="480"/>
        <v>0</v>
      </c>
      <c r="Q2388" s="288"/>
      <c r="R2388" s="315" t="str">
        <f>IF(P2387&gt;0,"xy","")</f>
        <v/>
      </c>
      <c r="S2388" s="385" t="str">
        <f t="shared" si="477"/>
        <v/>
      </c>
    </row>
    <row r="2389" spans="2:19" ht="13.5" hidden="1" thickBot="1">
      <c r="B2389" s="609" t="s">
        <v>168</v>
      </c>
      <c r="C2389" s="610"/>
      <c r="D2389" s="611" t="s">
        <v>256</v>
      </c>
      <c r="E2389" s="602"/>
      <c r="F2389" s="603">
        <v>180</v>
      </c>
      <c r="G2389" s="604">
        <f>VLOOKUP(D2387,'ENSAIOS DE ORÇAMENTO'!$C$3:$L$79,5,FALSE)</f>
        <v>1.7263925000000002</v>
      </c>
      <c r="H2389" s="605">
        <f>IF(F2389=0,0,IF(F2389&lt;=30,(0.7*F2389+1.45)*G2389,((0.7*30+1.45)+0.58*(F2389-30))*G2389))</f>
        <v>188.95365912500003</v>
      </c>
      <c r="I2389" s="675"/>
      <c r="J2389" s="675"/>
      <c r="K2389" s="606">
        <f t="shared" si="478"/>
        <v>0</v>
      </c>
      <c r="L2389" s="607"/>
      <c r="M2389" s="614"/>
      <c r="N2389" s="614"/>
      <c r="O2389" s="287">
        <f t="shared" si="479"/>
        <v>0</v>
      </c>
      <c r="P2389" s="287">
        <f t="shared" si="480"/>
        <v>0</v>
      </c>
      <c r="Q2389" s="288"/>
      <c r="R2389" s="315" t="str">
        <f>IF(P2387&gt;0,"xy","")</f>
        <v/>
      </c>
      <c r="S2389" s="385" t="str">
        <f t="shared" si="477"/>
        <v/>
      </c>
    </row>
    <row r="2390" spans="2:19" ht="13.5" hidden="1" thickBot="1">
      <c r="B2390" s="609" t="s">
        <v>168</v>
      </c>
      <c r="C2390" s="610"/>
      <c r="D2390" s="611" t="s">
        <v>260</v>
      </c>
      <c r="E2390" s="602"/>
      <c r="F2390" s="603">
        <v>20</v>
      </c>
      <c r="G2390" s="604">
        <f>VLOOKUP(D2387,'ENSAIOS DE ORÇAMENTO'!$C$3:$L$79,6,FALSE)</f>
        <v>1.3209000000000002</v>
      </c>
      <c r="H2390" s="605">
        <f>IF(F2390=0,0,IF(F2390&lt;=30,(0.7*F2390+1.45)*G2390,((0.7*30+1.45)+0.58*(F2390-30))*G2390))</f>
        <v>20.407905000000003</v>
      </c>
      <c r="I2390" s="675"/>
      <c r="J2390" s="675"/>
      <c r="K2390" s="606">
        <f t="shared" si="478"/>
        <v>0</v>
      </c>
      <c r="L2390" s="607"/>
      <c r="M2390" s="614"/>
      <c r="N2390" s="614"/>
      <c r="O2390" s="287">
        <f t="shared" si="479"/>
        <v>0</v>
      </c>
      <c r="P2390" s="287">
        <f t="shared" si="480"/>
        <v>0</v>
      </c>
      <c r="Q2390" s="288"/>
      <c r="R2390" s="243" t="str">
        <f>IF(P2387&gt;0,"xy","")</f>
        <v/>
      </c>
      <c r="S2390" s="385" t="str">
        <f t="shared" si="477"/>
        <v/>
      </c>
    </row>
    <row r="2391" spans="2:19" ht="13.5" hidden="1" thickBot="1">
      <c r="B2391" s="609" t="s">
        <v>168</v>
      </c>
      <c r="C2391" s="610"/>
      <c r="D2391" s="611" t="s">
        <v>417</v>
      </c>
      <c r="E2391" s="602"/>
      <c r="F2391" s="603">
        <v>30</v>
      </c>
      <c r="G2391" s="604">
        <f>VLOOKUP(D2387,'ENSAIOS DE ORÇAMENTO'!$C$3:$L$79,3,FALSE)</f>
        <v>1.30284</v>
      </c>
      <c r="H2391" s="605">
        <f>IF(F2391=0,0,IF(F2391&lt;=30,(0.7*F2391+1.45)*G2391,((0.7*30+1.45)+0.58*(F2391-30))*G2391))</f>
        <v>29.248757999999999</v>
      </c>
      <c r="I2391" s="675"/>
      <c r="J2391" s="675"/>
      <c r="K2391" s="606">
        <f t="shared" si="478"/>
        <v>0</v>
      </c>
      <c r="L2391" s="607"/>
      <c r="M2391" s="614"/>
      <c r="N2391" s="614"/>
      <c r="O2391" s="287">
        <f t="shared" si="479"/>
        <v>0</v>
      </c>
      <c r="P2391" s="287">
        <f t="shared" si="480"/>
        <v>0</v>
      </c>
      <c r="Q2391" s="288"/>
      <c r="R2391" s="315" t="str">
        <f>IF(P2387&gt;0,"xy","")</f>
        <v/>
      </c>
      <c r="S2391" s="385" t="str">
        <f t="shared" si="477"/>
        <v/>
      </c>
    </row>
    <row r="2392" spans="2:19" ht="13.5" hidden="1" thickBot="1">
      <c r="B2392" s="609" t="s">
        <v>168</v>
      </c>
      <c r="C2392" s="610"/>
      <c r="D2392" s="611" t="s">
        <v>418</v>
      </c>
      <c r="E2392" s="602"/>
      <c r="F2392" s="603">
        <v>500</v>
      </c>
      <c r="G2392" s="604">
        <f>VLOOKUP(D2387,'ENSAIOS DE ORÇAMENTO'!$C$3:$L$79,10,FALSE)</f>
        <v>4.3428000000000001E-2</v>
      </c>
      <c r="H2392" s="605">
        <f>IF(F2392=0,0,IF(F2392&lt;=30,(0.7*F2392+1.45)*G2392,((0.7*30+1.45)+0.58*(F2392-30))*G2392))</f>
        <v>12.813431399999999</v>
      </c>
      <c r="I2392" s="675"/>
      <c r="J2392" s="675"/>
      <c r="K2392" s="606">
        <f t="shared" si="478"/>
        <v>0</v>
      </c>
      <c r="L2392" s="607"/>
      <c r="M2392" s="614"/>
      <c r="N2392" s="614"/>
      <c r="O2392" s="287">
        <f t="shared" si="479"/>
        <v>0</v>
      </c>
      <c r="P2392" s="287">
        <f t="shared" si="480"/>
        <v>0</v>
      </c>
      <c r="Q2392" s="288"/>
      <c r="R2392" s="315" t="str">
        <f>IF(P2387&gt;0,"xy","")</f>
        <v/>
      </c>
      <c r="S2392" s="385" t="str">
        <f t="shared" si="477"/>
        <v/>
      </c>
    </row>
    <row r="2393" spans="2:19" ht="13.5" hidden="1" thickBot="1">
      <c r="B2393" s="609" t="s">
        <v>132</v>
      </c>
      <c r="C2393" s="610" t="s">
        <v>212</v>
      </c>
      <c r="D2393" s="611" t="s">
        <v>149</v>
      </c>
      <c r="E2393" s="602"/>
      <c r="F2393" s="603"/>
      <c r="G2393" s="604"/>
      <c r="H2393" s="605">
        <f>SUM(H2394:H2398)</f>
        <v>395.747158883</v>
      </c>
      <c r="I2393" s="675">
        <f>VLOOKUP(D2393,'ENSAIOS DE ORÇAMENTO'!$C$3:$L$79,8,FALSE)</f>
        <v>2945.3635049999993</v>
      </c>
      <c r="J2393" s="675">
        <f t="shared" ref="J2393" si="483">IF(ISBLANK(I2393),"",SUM(H2393:I2393))</f>
        <v>3341.1106638829992</v>
      </c>
      <c r="K2393" s="606">
        <f t="shared" si="478"/>
        <v>4054.44</v>
      </c>
      <c r="L2393" s="607" t="s">
        <v>21</v>
      </c>
      <c r="M2393" s="30"/>
      <c r="N2393" s="30"/>
      <c r="O2393" s="287">
        <f t="shared" si="479"/>
        <v>0</v>
      </c>
      <c r="P2393" s="287">
        <f t="shared" si="480"/>
        <v>0</v>
      </c>
      <c r="Q2393" s="288"/>
      <c r="S2393" s="385" t="str">
        <f t="shared" si="477"/>
        <v/>
      </c>
    </row>
    <row r="2394" spans="2:19" ht="13.5" hidden="1" thickBot="1">
      <c r="B2394" s="609" t="s">
        <v>168</v>
      </c>
      <c r="C2394" s="610"/>
      <c r="D2394" s="611" t="s">
        <v>218</v>
      </c>
      <c r="E2394" s="602"/>
      <c r="F2394" s="603">
        <v>500</v>
      </c>
      <c r="G2394" s="604">
        <f>VLOOKUP(D2393,'ENSAIOS DE ORÇAMENTO'!$C$3:$L$79,4,FALSE)</f>
        <v>0.50537460000000012</v>
      </c>
      <c r="H2394" s="605">
        <f>IF(F2394&lt;=30,(0.51*F2394+4.28)*G2394,((0.51*30+4.28)+0.42*(F2394-30))*G2394)</f>
        <v>109.65618070800004</v>
      </c>
      <c r="I2394" s="675"/>
      <c r="J2394" s="675"/>
      <c r="K2394" s="606">
        <f t="shared" si="478"/>
        <v>0</v>
      </c>
      <c r="L2394" s="607"/>
      <c r="M2394" s="614"/>
      <c r="N2394" s="614"/>
      <c r="O2394" s="287">
        <f t="shared" si="479"/>
        <v>0</v>
      </c>
      <c r="P2394" s="287">
        <f t="shared" si="480"/>
        <v>0</v>
      </c>
      <c r="Q2394" s="288"/>
      <c r="R2394" s="315" t="str">
        <f>IF(P2393&gt;0,"xy","")</f>
        <v/>
      </c>
      <c r="S2394" s="385" t="str">
        <f t="shared" si="477"/>
        <v/>
      </c>
    </row>
    <row r="2395" spans="2:19" ht="13.5" hidden="1" thickBot="1">
      <c r="B2395" s="609" t="s">
        <v>168</v>
      </c>
      <c r="C2395" s="610"/>
      <c r="D2395" s="611" t="s">
        <v>256</v>
      </c>
      <c r="E2395" s="602"/>
      <c r="F2395" s="603">
        <v>180</v>
      </c>
      <c r="G2395" s="604">
        <f>VLOOKUP(D2393,'ENSAIOS DE ORÇAMENTO'!$C$3:$L$79,5,FALSE)</f>
        <v>1.9364075000000001</v>
      </c>
      <c r="H2395" s="605">
        <f>IF(F2395=0,0,IF(F2395&lt;=30,(0.7*F2395+1.45)*G2395,((0.7*30+1.45)+0.58*(F2395-30))*G2395))</f>
        <v>211.939800875</v>
      </c>
      <c r="I2395" s="675"/>
      <c r="J2395" s="675"/>
      <c r="K2395" s="606">
        <f t="shared" si="478"/>
        <v>0</v>
      </c>
      <c r="L2395" s="607"/>
      <c r="M2395" s="614"/>
      <c r="N2395" s="614"/>
      <c r="O2395" s="287">
        <f t="shared" si="479"/>
        <v>0</v>
      </c>
      <c r="P2395" s="287">
        <f t="shared" si="480"/>
        <v>0</v>
      </c>
      <c r="Q2395" s="288"/>
      <c r="R2395" s="315" t="str">
        <f>IF(P2393&gt;0,"xy","")</f>
        <v/>
      </c>
      <c r="S2395" s="385" t="str">
        <f t="shared" si="477"/>
        <v/>
      </c>
    </row>
    <row r="2396" spans="2:19" ht="13.5" hidden="1" thickBot="1">
      <c r="B2396" s="609" t="s">
        <v>168</v>
      </c>
      <c r="C2396" s="610"/>
      <c r="D2396" s="611" t="s">
        <v>260</v>
      </c>
      <c r="E2396" s="602"/>
      <c r="F2396" s="603">
        <v>20</v>
      </c>
      <c r="G2396" s="604">
        <f>VLOOKUP(D2393,'ENSAIOS DE ORÇAMENTO'!$C$3:$L$79,6,FALSE)</f>
        <v>1.3875000000000002</v>
      </c>
      <c r="H2396" s="605">
        <f>IF(F2396=0,0,IF(F2396&lt;=30,(0.7*F2396+1.45)*G2396,((0.7*30+1.45)+0.58*(F2396-30))*G2396))</f>
        <v>21.436875000000001</v>
      </c>
      <c r="I2396" s="675"/>
      <c r="J2396" s="675"/>
      <c r="K2396" s="606">
        <f t="shared" si="478"/>
        <v>0</v>
      </c>
      <c r="L2396" s="607"/>
      <c r="M2396" s="614"/>
      <c r="N2396" s="614"/>
      <c r="O2396" s="287">
        <f t="shared" si="479"/>
        <v>0</v>
      </c>
      <c r="P2396" s="287">
        <f t="shared" si="480"/>
        <v>0</v>
      </c>
      <c r="Q2396" s="288"/>
      <c r="R2396" s="243" t="str">
        <f>IF(P2393&gt;0,"xy","")</f>
        <v/>
      </c>
      <c r="S2396" s="385" t="str">
        <f t="shared" si="477"/>
        <v/>
      </c>
    </row>
    <row r="2397" spans="2:19" ht="13.5" hidden="1" thickBot="1">
      <c r="B2397" s="609" t="s">
        <v>168</v>
      </c>
      <c r="C2397" s="610"/>
      <c r="D2397" s="611" t="s">
        <v>417</v>
      </c>
      <c r="E2397" s="602"/>
      <c r="F2397" s="603">
        <v>30</v>
      </c>
      <c r="G2397" s="604">
        <f>VLOOKUP(D2393,'ENSAIOS DE ORÇAMENTO'!$C$3:$L$79,3,FALSE)</f>
        <v>1.6327799999999999</v>
      </c>
      <c r="H2397" s="605">
        <f>IF(F2397=0,0,IF(F2397&lt;=30,(0.7*F2397+1.45)*G2397,((0.7*30+1.45)+0.58*(F2397-30))*G2397))</f>
        <v>36.655910999999996</v>
      </c>
      <c r="I2397" s="675"/>
      <c r="J2397" s="675"/>
      <c r="K2397" s="606">
        <f t="shared" si="478"/>
        <v>0</v>
      </c>
      <c r="L2397" s="607"/>
      <c r="M2397" s="614"/>
      <c r="N2397" s="614"/>
      <c r="O2397" s="287">
        <f t="shared" si="479"/>
        <v>0</v>
      </c>
      <c r="P2397" s="287">
        <f t="shared" si="480"/>
        <v>0</v>
      </c>
      <c r="Q2397" s="288"/>
      <c r="R2397" s="315" t="str">
        <f>IF(P2393&gt;0,"xy","")</f>
        <v/>
      </c>
      <c r="S2397" s="385" t="str">
        <f t="shared" si="477"/>
        <v/>
      </c>
    </row>
    <row r="2398" spans="2:19" ht="13.5" hidden="1" thickBot="1">
      <c r="B2398" s="609" t="s">
        <v>168</v>
      </c>
      <c r="C2398" s="610"/>
      <c r="D2398" s="611" t="s">
        <v>418</v>
      </c>
      <c r="E2398" s="602"/>
      <c r="F2398" s="603">
        <v>500</v>
      </c>
      <c r="G2398" s="604">
        <f>VLOOKUP(D2393,'ENSAIOS DE ORÇAMENTO'!$C$3:$L$79,10,FALSE)</f>
        <v>5.4425999999999995E-2</v>
      </c>
      <c r="H2398" s="605">
        <f>IF(F2398=0,0,IF(F2398&lt;=30,(0.7*F2398+1.45)*G2398,((0.7*30+1.45)+0.58*(F2398-30))*G2398))</f>
        <v>16.058391299999997</v>
      </c>
      <c r="I2398" s="675"/>
      <c r="J2398" s="675"/>
      <c r="K2398" s="606">
        <f t="shared" si="478"/>
        <v>0</v>
      </c>
      <c r="L2398" s="607"/>
      <c r="M2398" s="614"/>
      <c r="N2398" s="614"/>
      <c r="O2398" s="287">
        <f t="shared" si="479"/>
        <v>0</v>
      </c>
      <c r="P2398" s="287">
        <f t="shared" si="480"/>
        <v>0</v>
      </c>
      <c r="Q2398" s="288"/>
      <c r="R2398" s="315" t="str">
        <f>IF(P2393&gt;0,"xy","")</f>
        <v/>
      </c>
      <c r="S2398" s="385" t="str">
        <f t="shared" si="477"/>
        <v/>
      </c>
    </row>
    <row r="2399" spans="2:19" ht="13.5" hidden="1" thickBot="1">
      <c r="B2399" s="609" t="s">
        <v>136</v>
      </c>
      <c r="C2399" s="610" t="s">
        <v>212</v>
      </c>
      <c r="D2399" s="611" t="s">
        <v>150</v>
      </c>
      <c r="E2399" s="602"/>
      <c r="F2399" s="603"/>
      <c r="G2399" s="604"/>
      <c r="H2399" s="605">
        <f>SUM(H2400:H2404)</f>
        <v>229.69317850000004</v>
      </c>
      <c r="I2399" s="675">
        <f>VLOOKUP(D2399,'ENSAIOS DE ORÇAMENTO'!$C$3:$L$79,8,FALSE)</f>
        <v>1388.1369</v>
      </c>
      <c r="J2399" s="675">
        <f t="shared" ref="J2399" si="484">IF(ISBLANK(I2399),"",SUM(H2399:I2399))</f>
        <v>1617.8300785000001</v>
      </c>
      <c r="K2399" s="606">
        <f t="shared" si="478"/>
        <v>1963.24</v>
      </c>
      <c r="L2399" s="607" t="s">
        <v>21</v>
      </c>
      <c r="M2399" s="30"/>
      <c r="N2399" s="30"/>
      <c r="O2399" s="287">
        <f t="shared" si="479"/>
        <v>0</v>
      </c>
      <c r="P2399" s="287">
        <f t="shared" si="480"/>
        <v>0</v>
      </c>
      <c r="Q2399" s="288"/>
      <c r="S2399" s="385" t="str">
        <f t="shared" si="477"/>
        <v/>
      </c>
    </row>
    <row r="2400" spans="2:19" ht="13.5" hidden="1" thickBot="1">
      <c r="B2400" s="609" t="s">
        <v>168</v>
      </c>
      <c r="C2400" s="610"/>
      <c r="D2400" s="611" t="s">
        <v>218</v>
      </c>
      <c r="E2400" s="602"/>
      <c r="F2400" s="603">
        <v>500</v>
      </c>
      <c r="G2400" s="604">
        <f>VLOOKUP(D2399,'ENSAIOS DE ORÇAMENTO'!$C$3:$L$79,4,FALSE)</f>
        <v>0.38250000000000006</v>
      </c>
      <c r="H2400" s="605">
        <f>IF(F2400&lt;=30,(0.51*F2400+4.28)*G2400,((0.51*30+4.28)+0.42*(F2400-30))*G2400)</f>
        <v>82.994850000000014</v>
      </c>
      <c r="I2400" s="675"/>
      <c r="J2400" s="675"/>
      <c r="K2400" s="606">
        <f t="shared" si="478"/>
        <v>0</v>
      </c>
      <c r="L2400" s="607"/>
      <c r="M2400" s="614"/>
      <c r="N2400" s="614"/>
      <c r="O2400" s="287">
        <f t="shared" si="479"/>
        <v>0</v>
      </c>
      <c r="P2400" s="287">
        <f t="shared" si="480"/>
        <v>0</v>
      </c>
      <c r="Q2400" s="288"/>
      <c r="R2400" s="315" t="str">
        <f>IF(P2399&gt;0,"xy","")</f>
        <v/>
      </c>
      <c r="S2400" s="385" t="str">
        <f t="shared" si="477"/>
        <v/>
      </c>
    </row>
    <row r="2401" spans="2:19" ht="13.5" hidden="1" thickBot="1">
      <c r="B2401" s="609" t="s">
        <v>168</v>
      </c>
      <c r="C2401" s="610"/>
      <c r="D2401" s="611" t="s">
        <v>256</v>
      </c>
      <c r="E2401" s="602"/>
      <c r="F2401" s="603">
        <v>180</v>
      </c>
      <c r="G2401" s="604">
        <f>VLOOKUP(D2399,'ENSAIOS DE ORÇAMENTO'!$C$3:$L$79,5,FALSE)</f>
        <v>1.1483800000000002</v>
      </c>
      <c r="H2401" s="605">
        <f>IF(F2401=0,0,IF(F2401&lt;=30,(0.7*F2401+1.45)*G2401,((0.7*30+1.45)+0.58*(F2401-30))*G2401))</f>
        <v>125.69019100000003</v>
      </c>
      <c r="I2401" s="675"/>
      <c r="J2401" s="675"/>
      <c r="K2401" s="606">
        <f t="shared" si="478"/>
        <v>0</v>
      </c>
      <c r="L2401" s="607"/>
      <c r="M2401" s="614"/>
      <c r="N2401" s="614"/>
      <c r="O2401" s="287">
        <f t="shared" si="479"/>
        <v>0</v>
      </c>
      <c r="P2401" s="287">
        <f t="shared" si="480"/>
        <v>0</v>
      </c>
      <c r="Q2401" s="288"/>
      <c r="R2401" s="315" t="str">
        <f>IF(P2399&gt;0,"xy","")</f>
        <v/>
      </c>
      <c r="S2401" s="385" t="str">
        <f t="shared" si="477"/>
        <v/>
      </c>
    </row>
    <row r="2402" spans="2:19" ht="13.5" hidden="1" thickBot="1">
      <c r="B2402" s="609" t="s">
        <v>168</v>
      </c>
      <c r="C2402" s="610"/>
      <c r="D2402" s="611" t="s">
        <v>260</v>
      </c>
      <c r="E2402" s="602"/>
      <c r="F2402" s="603">
        <v>20</v>
      </c>
      <c r="G2402" s="604">
        <f>VLOOKUP(D2399,'ENSAIOS DE ORÇAMENTO'!$C$3:$L$79,6,FALSE)</f>
        <v>1.35975</v>
      </c>
      <c r="H2402" s="605">
        <f>IF(F2402=0,0,IF(F2402&lt;=30,(0.7*F2402+1.45)*G2402,((0.7*30+1.45)+0.58*(F2402-30))*G2402))</f>
        <v>21.0081375</v>
      </c>
      <c r="I2402" s="675"/>
      <c r="J2402" s="675"/>
      <c r="K2402" s="606">
        <f t="shared" si="478"/>
        <v>0</v>
      </c>
      <c r="L2402" s="607"/>
      <c r="M2402" s="614"/>
      <c r="N2402" s="614"/>
      <c r="O2402" s="287">
        <f t="shared" si="479"/>
        <v>0</v>
      </c>
      <c r="P2402" s="287">
        <f t="shared" si="480"/>
        <v>0</v>
      </c>
      <c r="Q2402" s="288"/>
      <c r="R2402" s="243" t="str">
        <f>IF(P2399&gt;0,"xy","")</f>
        <v/>
      </c>
      <c r="S2402" s="385" t="str">
        <f t="shared" si="477"/>
        <v/>
      </c>
    </row>
    <row r="2403" spans="2:19" ht="13.5" hidden="1" thickBot="1">
      <c r="B2403" s="609" t="s">
        <v>168</v>
      </c>
      <c r="C2403" s="610"/>
      <c r="D2403" s="611" t="s">
        <v>417</v>
      </c>
      <c r="E2403" s="602"/>
      <c r="F2403" s="603">
        <v>30</v>
      </c>
      <c r="G2403" s="604">
        <f>VLOOKUP(D2399,'ENSAIOS DE ORÇAMENTO'!$C$3:$L$79,3,FALSE)</f>
        <v>0</v>
      </c>
      <c r="H2403" s="605">
        <f>IF(F2403=0,0,IF(F2403&lt;=30,(0.7*F2403+1.45)*G2403,((0.7*30+1.45)+0.58*(F2403-30))*G2403))</f>
        <v>0</v>
      </c>
      <c r="I2403" s="675"/>
      <c r="J2403" s="675"/>
      <c r="K2403" s="606">
        <f t="shared" si="478"/>
        <v>0</v>
      </c>
      <c r="L2403" s="607"/>
      <c r="M2403" s="614"/>
      <c r="N2403" s="614"/>
      <c r="O2403" s="287">
        <f t="shared" si="479"/>
        <v>0</v>
      </c>
      <c r="P2403" s="287">
        <f t="shared" si="480"/>
        <v>0</v>
      </c>
      <c r="Q2403" s="288"/>
      <c r="R2403" s="315" t="str">
        <f>IF(P2399&gt;0,"xy","")</f>
        <v/>
      </c>
      <c r="S2403" s="385" t="str">
        <f t="shared" si="477"/>
        <v/>
      </c>
    </row>
    <row r="2404" spans="2:19" ht="13.5" hidden="1" thickBot="1">
      <c r="B2404" s="609" t="s">
        <v>168</v>
      </c>
      <c r="C2404" s="610"/>
      <c r="D2404" s="611" t="s">
        <v>418</v>
      </c>
      <c r="E2404" s="602"/>
      <c r="F2404" s="603">
        <v>500</v>
      </c>
      <c r="G2404" s="604">
        <f>VLOOKUP(D2399,'ENSAIOS DE ORÇAMENTO'!$C$3:$L$79,10,FALSE)</f>
        <v>0</v>
      </c>
      <c r="H2404" s="605">
        <f>IF(F2404=0,0,IF(F2404&lt;=30,(0.7*F2404+1.45)*G2404,((0.7*30+1.45)+0.58*(F2404-30))*G2404))</f>
        <v>0</v>
      </c>
      <c r="I2404" s="675"/>
      <c r="J2404" s="675"/>
      <c r="K2404" s="606">
        <f t="shared" si="478"/>
        <v>0</v>
      </c>
      <c r="L2404" s="607"/>
      <c r="M2404" s="614"/>
      <c r="N2404" s="614"/>
      <c r="O2404" s="287">
        <f t="shared" si="479"/>
        <v>0</v>
      </c>
      <c r="P2404" s="287">
        <f t="shared" si="480"/>
        <v>0</v>
      </c>
      <c r="Q2404" s="288"/>
      <c r="R2404" s="315" t="str">
        <f>IF(P2399&gt;0,"xy","")</f>
        <v/>
      </c>
      <c r="S2404" s="385" t="str">
        <f t="shared" si="477"/>
        <v/>
      </c>
    </row>
    <row r="2405" spans="2:19" ht="13.5" hidden="1" thickBot="1">
      <c r="B2405" s="609" t="s">
        <v>137</v>
      </c>
      <c r="C2405" s="610" t="s">
        <v>212</v>
      </c>
      <c r="D2405" s="611" t="s">
        <v>151</v>
      </c>
      <c r="E2405" s="602"/>
      <c r="F2405" s="603"/>
      <c r="G2405" s="604"/>
      <c r="H2405" s="605">
        <f>SUM(H2406:H2410)</f>
        <v>258.12663100000003</v>
      </c>
      <c r="I2405" s="675">
        <f>VLOOKUP(D2405,'ENSAIOS DE ORÇAMENTO'!$C$3:$L$79,8,FALSE)</f>
        <v>1471.5483999999999</v>
      </c>
      <c r="J2405" s="675">
        <f t="shared" ref="J2405" si="485">IF(ISBLANK(I2405),"",SUM(H2405:I2405))</f>
        <v>1729.675031</v>
      </c>
      <c r="K2405" s="606">
        <f t="shared" si="478"/>
        <v>2098.96</v>
      </c>
      <c r="L2405" s="607" t="s">
        <v>21</v>
      </c>
      <c r="M2405" s="30"/>
      <c r="N2405" s="30"/>
      <c r="O2405" s="287">
        <f t="shared" si="479"/>
        <v>0</v>
      </c>
      <c r="P2405" s="287">
        <f t="shared" si="480"/>
        <v>0</v>
      </c>
      <c r="Q2405" s="288"/>
      <c r="S2405" s="385" t="str">
        <f t="shared" si="477"/>
        <v/>
      </c>
    </row>
    <row r="2406" spans="2:19" ht="13.5" hidden="1" thickBot="1">
      <c r="B2406" s="609" t="s">
        <v>168</v>
      </c>
      <c r="C2406" s="610"/>
      <c r="D2406" s="611" t="s">
        <v>218</v>
      </c>
      <c r="E2406" s="602"/>
      <c r="F2406" s="603">
        <v>500</v>
      </c>
      <c r="G2406" s="604">
        <f>VLOOKUP(D2405,'ENSAIOS DE ORÇAMENTO'!$C$3:$L$79,4,FALSE)</f>
        <v>0.43200000000000005</v>
      </c>
      <c r="H2406" s="605">
        <f>IF(F2406&lt;=30,(0.51*F2406+4.28)*G2406,((0.51*30+4.28)+0.42*(F2406-30))*G2406)</f>
        <v>93.735360000000014</v>
      </c>
      <c r="I2406" s="675"/>
      <c r="J2406" s="675"/>
      <c r="K2406" s="606">
        <f t="shared" si="478"/>
        <v>0</v>
      </c>
      <c r="L2406" s="607"/>
      <c r="M2406" s="614"/>
      <c r="N2406" s="614"/>
      <c r="O2406" s="287">
        <f t="shared" si="479"/>
        <v>0</v>
      </c>
      <c r="P2406" s="287">
        <f t="shared" si="480"/>
        <v>0</v>
      </c>
      <c r="Q2406" s="288"/>
      <c r="R2406" s="315" t="str">
        <f>IF(P2405&gt;0,"xy","")</f>
        <v/>
      </c>
      <c r="S2406" s="385" t="str">
        <f t="shared" si="477"/>
        <v/>
      </c>
    </row>
    <row r="2407" spans="2:19" ht="13.5" hidden="1" thickBot="1">
      <c r="B2407" s="609" t="s">
        <v>168</v>
      </c>
      <c r="C2407" s="610"/>
      <c r="D2407" s="611" t="s">
        <v>256</v>
      </c>
      <c r="E2407" s="602"/>
      <c r="F2407" s="603">
        <v>180</v>
      </c>
      <c r="G2407" s="604">
        <f>VLOOKUP(D2405,'ENSAIOS DE ORÇAMENTO'!$C$3:$L$79,5,FALSE)</f>
        <v>1.28653</v>
      </c>
      <c r="H2407" s="605">
        <f>IF(F2407=0,0,IF(F2407&lt;=30,(0.7*F2407+1.45)*G2407,((0.7*30+1.45)+0.58*(F2407-30))*G2407))</f>
        <v>140.8107085</v>
      </c>
      <c r="I2407" s="675"/>
      <c r="J2407" s="675"/>
      <c r="K2407" s="606">
        <f t="shared" si="478"/>
        <v>0</v>
      </c>
      <c r="L2407" s="607"/>
      <c r="M2407" s="614"/>
      <c r="N2407" s="614"/>
      <c r="O2407" s="287">
        <f t="shared" si="479"/>
        <v>0</v>
      </c>
      <c r="P2407" s="287">
        <f t="shared" si="480"/>
        <v>0</v>
      </c>
      <c r="Q2407" s="288"/>
      <c r="R2407" s="315" t="str">
        <f>IF(P2405&gt;0,"xy","")</f>
        <v/>
      </c>
      <c r="S2407" s="385" t="str">
        <f t="shared" si="477"/>
        <v/>
      </c>
    </row>
    <row r="2408" spans="2:19" ht="13.5" hidden="1" thickBot="1">
      <c r="B2408" s="609" t="s">
        <v>168</v>
      </c>
      <c r="C2408" s="610"/>
      <c r="D2408" s="611" t="s">
        <v>260</v>
      </c>
      <c r="E2408" s="602"/>
      <c r="F2408" s="603">
        <v>20</v>
      </c>
      <c r="G2408" s="604">
        <f>VLOOKUP(D2405,'ENSAIOS DE ORÇAMENTO'!$C$3:$L$79,6,FALSE)</f>
        <v>1.5262500000000001</v>
      </c>
      <c r="H2408" s="605">
        <f>IF(F2408=0,0,IF(F2408&lt;=30,(0.7*F2408+1.45)*G2408,((0.7*30+1.45)+0.58*(F2408-30))*G2408))</f>
        <v>23.580562499999999</v>
      </c>
      <c r="I2408" s="675"/>
      <c r="J2408" s="675"/>
      <c r="K2408" s="606">
        <f t="shared" si="478"/>
        <v>0</v>
      </c>
      <c r="L2408" s="607"/>
      <c r="M2408" s="614"/>
      <c r="N2408" s="614"/>
      <c r="O2408" s="287">
        <f t="shared" si="479"/>
        <v>0</v>
      </c>
      <c r="P2408" s="287">
        <f t="shared" si="480"/>
        <v>0</v>
      </c>
      <c r="Q2408" s="288"/>
      <c r="R2408" s="243" t="str">
        <f>IF(P2405&gt;0,"xy","")</f>
        <v/>
      </c>
      <c r="S2408" s="385" t="str">
        <f t="shared" si="477"/>
        <v/>
      </c>
    </row>
    <row r="2409" spans="2:19" ht="13.5" hidden="1" thickBot="1">
      <c r="B2409" s="609" t="s">
        <v>168</v>
      </c>
      <c r="C2409" s="610"/>
      <c r="D2409" s="611" t="s">
        <v>417</v>
      </c>
      <c r="E2409" s="602"/>
      <c r="F2409" s="603">
        <v>30</v>
      </c>
      <c r="G2409" s="604">
        <f>VLOOKUP(D2405,'ENSAIOS DE ORÇAMENTO'!$C$3:$L$79,3,FALSE)</f>
        <v>0</v>
      </c>
      <c r="H2409" s="605">
        <f>IF(F2409=0,0,IF(F2409&lt;=30,(0.7*F2409+1.45)*G2409,((0.7*30+1.45)+0.58*(F2409-30))*G2409))</f>
        <v>0</v>
      </c>
      <c r="I2409" s="675"/>
      <c r="J2409" s="675"/>
      <c r="K2409" s="606">
        <f t="shared" si="478"/>
        <v>0</v>
      </c>
      <c r="L2409" s="607"/>
      <c r="M2409" s="614"/>
      <c r="N2409" s="614"/>
      <c r="O2409" s="287">
        <f t="shared" si="479"/>
        <v>0</v>
      </c>
      <c r="P2409" s="287">
        <f t="shared" si="480"/>
        <v>0</v>
      </c>
      <c r="Q2409" s="288"/>
      <c r="R2409" s="315" t="str">
        <f>IF(P2405&gt;0,"xy","")</f>
        <v/>
      </c>
      <c r="S2409" s="385" t="str">
        <f t="shared" si="477"/>
        <v/>
      </c>
    </row>
    <row r="2410" spans="2:19" ht="13.5" hidden="1" thickBot="1">
      <c r="B2410" s="609" t="s">
        <v>168</v>
      </c>
      <c r="C2410" s="610"/>
      <c r="D2410" s="611" t="s">
        <v>418</v>
      </c>
      <c r="E2410" s="602"/>
      <c r="F2410" s="603">
        <v>500</v>
      </c>
      <c r="G2410" s="604">
        <f>VLOOKUP(D2405,'ENSAIOS DE ORÇAMENTO'!$C$3:$L$79,10,FALSE)</f>
        <v>0</v>
      </c>
      <c r="H2410" s="605">
        <f>IF(F2410=0,0,IF(F2410&lt;=30,(0.7*F2410+1.45)*G2410,((0.7*30+1.45)+0.58*(F2410-30))*G2410))</f>
        <v>0</v>
      </c>
      <c r="I2410" s="675"/>
      <c r="J2410" s="675"/>
      <c r="K2410" s="606">
        <f t="shared" si="478"/>
        <v>0</v>
      </c>
      <c r="L2410" s="607"/>
      <c r="M2410" s="614"/>
      <c r="N2410" s="614"/>
      <c r="O2410" s="287">
        <f t="shared" si="479"/>
        <v>0</v>
      </c>
      <c r="P2410" s="287">
        <f t="shared" si="480"/>
        <v>0</v>
      </c>
      <c r="Q2410" s="288"/>
      <c r="R2410" s="315" t="str">
        <f>IF(P2405&gt;0,"xy","")</f>
        <v/>
      </c>
      <c r="S2410" s="385" t="str">
        <f t="shared" si="477"/>
        <v/>
      </c>
    </row>
    <row r="2411" spans="2:19" ht="13.5" hidden="1" thickBot="1">
      <c r="B2411" s="609" t="s">
        <v>138</v>
      </c>
      <c r="C2411" s="610" t="s">
        <v>212</v>
      </c>
      <c r="D2411" s="611" t="s">
        <v>152</v>
      </c>
      <c r="E2411" s="602"/>
      <c r="F2411" s="603"/>
      <c r="G2411" s="604"/>
      <c r="H2411" s="605">
        <f>SUM(H2412:H2416)</f>
        <v>299.82902799999999</v>
      </c>
      <c r="I2411" s="675">
        <f>VLOOKUP(D2411,'ENSAIOS DE ORÇAMENTO'!$C$3:$L$79,8,FALSE)</f>
        <v>1594.6416000000002</v>
      </c>
      <c r="J2411" s="675">
        <f t="shared" ref="J2411" si="486">IF(ISBLANK(I2411),"",SUM(H2411:I2411))</f>
        <v>1894.470628</v>
      </c>
      <c r="K2411" s="606">
        <f t="shared" si="478"/>
        <v>2298.94</v>
      </c>
      <c r="L2411" s="607" t="s">
        <v>21</v>
      </c>
      <c r="M2411" s="30"/>
      <c r="N2411" s="30"/>
      <c r="O2411" s="287">
        <f t="shared" si="479"/>
        <v>0</v>
      </c>
      <c r="P2411" s="287">
        <f t="shared" si="480"/>
        <v>0</v>
      </c>
      <c r="Q2411" s="288"/>
      <c r="S2411" s="385" t="str">
        <f t="shared" si="477"/>
        <v/>
      </c>
    </row>
    <row r="2412" spans="2:19" ht="13.5" hidden="1" thickBot="1">
      <c r="B2412" s="609" t="s">
        <v>168</v>
      </c>
      <c r="C2412" s="610"/>
      <c r="D2412" s="611" t="s">
        <v>218</v>
      </c>
      <c r="E2412" s="602"/>
      <c r="F2412" s="603">
        <v>500</v>
      </c>
      <c r="G2412" s="604">
        <f>VLOOKUP(D2411,'ENSAIOS DE ORÇAMENTO'!$C$3:$L$79,4,FALSE)</f>
        <v>0.50459999999999994</v>
      </c>
      <c r="H2412" s="605">
        <f>IF(F2412&lt;=30,(0.51*F2412+4.28)*G2412,((0.51*30+4.28)+0.42*(F2412-30))*G2412)</f>
        <v>109.488108</v>
      </c>
      <c r="I2412" s="675"/>
      <c r="J2412" s="675"/>
      <c r="K2412" s="606">
        <f t="shared" si="478"/>
        <v>0</v>
      </c>
      <c r="L2412" s="607"/>
      <c r="M2412" s="614"/>
      <c r="N2412" s="614"/>
      <c r="O2412" s="287">
        <f t="shared" si="479"/>
        <v>0</v>
      </c>
      <c r="P2412" s="287">
        <f t="shared" si="480"/>
        <v>0</v>
      </c>
      <c r="Q2412" s="288"/>
      <c r="R2412" s="315" t="str">
        <f>IF(P2411&gt;0,"xy","")</f>
        <v/>
      </c>
      <c r="S2412" s="385" t="str">
        <f t="shared" si="477"/>
        <v/>
      </c>
    </row>
    <row r="2413" spans="2:19" ht="13.5" hidden="1" thickBot="1">
      <c r="B2413" s="609" t="s">
        <v>168</v>
      </c>
      <c r="C2413" s="610"/>
      <c r="D2413" s="611" t="s">
        <v>256</v>
      </c>
      <c r="E2413" s="602"/>
      <c r="F2413" s="603">
        <v>180</v>
      </c>
      <c r="G2413" s="604">
        <f>VLOOKUP(D2411,'ENSAIOS DE ORÇAMENTO'!$C$3:$L$79,5,FALSE)</f>
        <v>1.48915</v>
      </c>
      <c r="H2413" s="605">
        <f>IF(F2413=0,0,IF(F2413&lt;=30,(0.7*F2413+1.45)*G2413,((0.7*30+1.45)+0.58*(F2413-30))*G2413))</f>
        <v>162.98746750000001</v>
      </c>
      <c r="I2413" s="675"/>
      <c r="J2413" s="675"/>
      <c r="K2413" s="606">
        <f t="shared" si="478"/>
        <v>0</v>
      </c>
      <c r="L2413" s="607"/>
      <c r="M2413" s="614"/>
      <c r="N2413" s="614"/>
      <c r="O2413" s="287">
        <f t="shared" si="479"/>
        <v>0</v>
      </c>
      <c r="P2413" s="287">
        <f t="shared" si="480"/>
        <v>0</v>
      </c>
      <c r="Q2413" s="288"/>
      <c r="R2413" s="315" t="str">
        <f>IF(P2411&gt;0,"xy","")</f>
        <v/>
      </c>
      <c r="S2413" s="385" t="str">
        <f t="shared" si="477"/>
        <v/>
      </c>
    </row>
    <row r="2414" spans="2:19" ht="13.5" hidden="1" thickBot="1">
      <c r="B2414" s="609" t="s">
        <v>168</v>
      </c>
      <c r="C2414" s="610"/>
      <c r="D2414" s="611" t="s">
        <v>260</v>
      </c>
      <c r="E2414" s="602"/>
      <c r="F2414" s="603">
        <v>20</v>
      </c>
      <c r="G2414" s="604">
        <f>VLOOKUP(D2411,'ENSAIOS DE ORÇAMENTO'!$C$3:$L$79,6,FALSE)</f>
        <v>1.7704500000000001</v>
      </c>
      <c r="H2414" s="605">
        <f>IF(F2414=0,0,IF(F2414&lt;=30,(0.7*F2414+1.45)*G2414,((0.7*30+1.45)+0.58*(F2414-30))*G2414))</f>
        <v>27.3534525</v>
      </c>
      <c r="I2414" s="675"/>
      <c r="J2414" s="675"/>
      <c r="K2414" s="606">
        <f t="shared" si="478"/>
        <v>0</v>
      </c>
      <c r="L2414" s="607"/>
      <c r="M2414" s="614"/>
      <c r="N2414" s="614"/>
      <c r="O2414" s="287">
        <f t="shared" si="479"/>
        <v>0</v>
      </c>
      <c r="P2414" s="287">
        <f t="shared" si="480"/>
        <v>0</v>
      </c>
      <c r="Q2414" s="288"/>
      <c r="R2414" s="243" t="str">
        <f>IF(P2411&gt;0,"xy","")</f>
        <v/>
      </c>
      <c r="S2414" s="385" t="str">
        <f t="shared" si="477"/>
        <v/>
      </c>
    </row>
    <row r="2415" spans="2:19" ht="13.5" hidden="1" thickBot="1">
      <c r="B2415" s="609" t="s">
        <v>168</v>
      </c>
      <c r="C2415" s="610"/>
      <c r="D2415" s="611" t="s">
        <v>417</v>
      </c>
      <c r="E2415" s="602"/>
      <c r="F2415" s="603">
        <v>30</v>
      </c>
      <c r="G2415" s="604">
        <f>VLOOKUP(D2411,'ENSAIOS DE ORÇAMENTO'!$C$3:$L$79,3,FALSE)</f>
        <v>0</v>
      </c>
      <c r="H2415" s="605">
        <f>IF(F2415=0,0,IF(F2415&lt;=30,(0.7*F2415+1.45)*G2415,((0.7*30+1.45)+0.58*(F2415-30))*G2415))</f>
        <v>0</v>
      </c>
      <c r="I2415" s="675"/>
      <c r="J2415" s="675"/>
      <c r="K2415" s="606">
        <f t="shared" si="478"/>
        <v>0</v>
      </c>
      <c r="L2415" s="607"/>
      <c r="M2415" s="614"/>
      <c r="N2415" s="614"/>
      <c r="O2415" s="287">
        <f t="shared" si="479"/>
        <v>0</v>
      </c>
      <c r="P2415" s="287">
        <f t="shared" si="480"/>
        <v>0</v>
      </c>
      <c r="Q2415" s="288"/>
      <c r="R2415" s="315" t="str">
        <f>IF(P2411&gt;0,"xy","")</f>
        <v/>
      </c>
      <c r="S2415" s="385" t="str">
        <f t="shared" si="477"/>
        <v/>
      </c>
    </row>
    <row r="2416" spans="2:19" ht="13.5" hidden="1" thickBot="1">
      <c r="B2416" s="609" t="s">
        <v>168</v>
      </c>
      <c r="C2416" s="610"/>
      <c r="D2416" s="611" t="s">
        <v>418</v>
      </c>
      <c r="E2416" s="602"/>
      <c r="F2416" s="603">
        <v>500</v>
      </c>
      <c r="G2416" s="604">
        <f>VLOOKUP(D2411,'ENSAIOS DE ORÇAMENTO'!$C$3:$L$79,10,FALSE)</f>
        <v>0</v>
      </c>
      <c r="H2416" s="605">
        <f>IF(F2416=0,0,IF(F2416&lt;=30,(0.7*F2416+1.45)*G2416,((0.7*30+1.45)+0.58*(F2416-30))*G2416))</f>
        <v>0</v>
      </c>
      <c r="I2416" s="675"/>
      <c r="J2416" s="675"/>
      <c r="K2416" s="606">
        <f t="shared" si="478"/>
        <v>0</v>
      </c>
      <c r="L2416" s="607"/>
      <c r="M2416" s="614"/>
      <c r="N2416" s="614"/>
      <c r="O2416" s="287">
        <f t="shared" si="479"/>
        <v>0</v>
      </c>
      <c r="P2416" s="287">
        <f t="shared" si="480"/>
        <v>0</v>
      </c>
      <c r="Q2416" s="288"/>
      <c r="R2416" s="315" t="str">
        <f>IF(P2411&gt;0,"xy","")</f>
        <v/>
      </c>
      <c r="S2416" s="385" t="str">
        <f t="shared" si="477"/>
        <v/>
      </c>
    </row>
    <row r="2417" spans="2:19" ht="13.5" hidden="1" thickBot="1">
      <c r="B2417" s="609" t="s">
        <v>139</v>
      </c>
      <c r="C2417" s="610" t="s">
        <v>212</v>
      </c>
      <c r="D2417" s="611" t="s">
        <v>153</v>
      </c>
      <c r="E2417" s="602"/>
      <c r="F2417" s="603"/>
      <c r="G2417" s="604"/>
      <c r="H2417" s="605">
        <f>SUM(H2418:H2422)</f>
        <v>379.95714050000009</v>
      </c>
      <c r="I2417" s="675">
        <f>VLOOKUP(D2417,'ENSAIOS DE ORÇAMENTO'!$C$3:$L$79,8,FALSE)</f>
        <v>1783.2270999999998</v>
      </c>
      <c r="J2417" s="675">
        <f t="shared" ref="J2417" si="487">IF(ISBLANK(I2417),"",SUM(H2417:I2417))</f>
        <v>2163.1842404999998</v>
      </c>
      <c r="K2417" s="606">
        <f t="shared" si="478"/>
        <v>2625.02</v>
      </c>
      <c r="L2417" s="607" t="s">
        <v>21</v>
      </c>
      <c r="M2417" s="30"/>
      <c r="N2417" s="30"/>
      <c r="O2417" s="287">
        <f t="shared" si="479"/>
        <v>0</v>
      </c>
      <c r="P2417" s="287">
        <f t="shared" si="480"/>
        <v>0</v>
      </c>
      <c r="Q2417" s="288"/>
      <c r="S2417" s="385" t="str">
        <f t="shared" si="477"/>
        <v/>
      </c>
    </row>
    <row r="2418" spans="2:19" ht="13.5" hidden="1" thickBot="1">
      <c r="B2418" s="609" t="s">
        <v>168</v>
      </c>
      <c r="C2418" s="610"/>
      <c r="D2418" s="611" t="s">
        <v>218</v>
      </c>
      <c r="E2418" s="602"/>
      <c r="F2418" s="603">
        <v>500</v>
      </c>
      <c r="G2418" s="604">
        <f>VLOOKUP(D2417,'ENSAIOS DE ORÇAMENTO'!$C$3:$L$79,4,FALSE)</f>
        <v>0.6411</v>
      </c>
      <c r="H2418" s="605">
        <f>IF(F2418&lt;=30,(0.51*F2418+4.28)*G2418,((0.51*30+4.28)+0.42*(F2418-30))*G2418)</f>
        <v>139.10587800000002</v>
      </c>
      <c r="I2418" s="675"/>
      <c r="J2418" s="675"/>
      <c r="K2418" s="606">
        <f t="shared" si="478"/>
        <v>0</v>
      </c>
      <c r="L2418" s="607"/>
      <c r="M2418" s="614"/>
      <c r="N2418" s="614"/>
      <c r="O2418" s="287">
        <f t="shared" si="479"/>
        <v>0</v>
      </c>
      <c r="P2418" s="287">
        <f t="shared" si="480"/>
        <v>0</v>
      </c>
      <c r="Q2418" s="288"/>
      <c r="R2418" s="315" t="str">
        <f>IF(P2417&gt;0,"xy","")</f>
        <v/>
      </c>
      <c r="S2418" s="385" t="str">
        <f t="shared" si="477"/>
        <v/>
      </c>
    </row>
    <row r="2419" spans="2:19" ht="13.5" hidden="1" thickBot="1">
      <c r="B2419" s="609" t="s">
        <v>168</v>
      </c>
      <c r="C2419" s="610"/>
      <c r="D2419" s="611" t="s">
        <v>256</v>
      </c>
      <c r="E2419" s="602"/>
      <c r="F2419" s="603">
        <v>180</v>
      </c>
      <c r="G2419" s="604">
        <f>VLOOKUP(D2417,'ENSAIOS DE ORÇAMENTO'!$C$3:$L$79,5,FALSE)</f>
        <v>1.8840500000000002</v>
      </c>
      <c r="H2419" s="605">
        <f>IF(F2419=0,0,IF(F2419&lt;=30,(0.7*F2419+1.45)*G2419,((0.7*30+1.45)+0.58*(F2419-30))*G2419))</f>
        <v>206.20927250000003</v>
      </c>
      <c r="I2419" s="675"/>
      <c r="J2419" s="675"/>
      <c r="K2419" s="606">
        <f t="shared" si="478"/>
        <v>0</v>
      </c>
      <c r="L2419" s="607"/>
      <c r="M2419" s="614"/>
      <c r="N2419" s="614"/>
      <c r="O2419" s="287">
        <f t="shared" si="479"/>
        <v>0</v>
      </c>
      <c r="P2419" s="287">
        <f t="shared" si="480"/>
        <v>0</v>
      </c>
      <c r="Q2419" s="288"/>
      <c r="R2419" s="315" t="str">
        <f>IF(P2417&gt;0,"xy","")</f>
        <v/>
      </c>
      <c r="S2419" s="385" t="str">
        <f t="shared" si="477"/>
        <v/>
      </c>
    </row>
    <row r="2420" spans="2:19" ht="13.5" hidden="1" thickBot="1">
      <c r="B2420" s="609" t="s">
        <v>168</v>
      </c>
      <c r="C2420" s="610"/>
      <c r="D2420" s="611" t="s">
        <v>260</v>
      </c>
      <c r="E2420" s="602"/>
      <c r="F2420" s="603">
        <v>20</v>
      </c>
      <c r="G2420" s="604">
        <f>VLOOKUP(D2417,'ENSAIOS DE ORÇAMENTO'!$C$3:$L$79,6,FALSE)</f>
        <v>2.2422</v>
      </c>
      <c r="H2420" s="605">
        <f>IF(F2420=0,0,IF(F2420&lt;=30,(0.7*F2420+1.45)*G2420,((0.7*30+1.45)+0.58*(F2420-30))*G2420))</f>
        <v>34.64199</v>
      </c>
      <c r="I2420" s="675"/>
      <c r="J2420" s="675"/>
      <c r="K2420" s="606">
        <f t="shared" si="478"/>
        <v>0</v>
      </c>
      <c r="L2420" s="607"/>
      <c r="M2420" s="614"/>
      <c r="N2420" s="614"/>
      <c r="O2420" s="287">
        <f t="shared" si="479"/>
        <v>0</v>
      </c>
      <c r="P2420" s="287">
        <f t="shared" si="480"/>
        <v>0</v>
      </c>
      <c r="Q2420" s="288"/>
      <c r="R2420" s="243" t="str">
        <f>IF(P2417&gt;0,"xy","")</f>
        <v/>
      </c>
      <c r="S2420" s="385" t="str">
        <f t="shared" si="477"/>
        <v/>
      </c>
    </row>
    <row r="2421" spans="2:19" ht="13.5" hidden="1" thickBot="1">
      <c r="B2421" s="609" t="s">
        <v>168</v>
      </c>
      <c r="C2421" s="610"/>
      <c r="D2421" s="611" t="s">
        <v>417</v>
      </c>
      <c r="E2421" s="602"/>
      <c r="F2421" s="603">
        <v>30</v>
      </c>
      <c r="G2421" s="604">
        <f>VLOOKUP(D2417,'ENSAIOS DE ORÇAMENTO'!$C$3:$L$79,3,FALSE)</f>
        <v>0</v>
      </c>
      <c r="H2421" s="605">
        <f>IF(F2421=0,0,IF(F2421&lt;=30,(0.7*F2421+1.45)*G2421,((0.7*30+1.45)+0.58*(F2421-30))*G2421))</f>
        <v>0</v>
      </c>
      <c r="I2421" s="675"/>
      <c r="J2421" s="675"/>
      <c r="K2421" s="606">
        <f t="shared" si="478"/>
        <v>0</v>
      </c>
      <c r="L2421" s="607"/>
      <c r="M2421" s="614"/>
      <c r="N2421" s="614"/>
      <c r="O2421" s="287">
        <f t="shared" si="479"/>
        <v>0</v>
      </c>
      <c r="P2421" s="287">
        <f t="shared" si="480"/>
        <v>0</v>
      </c>
      <c r="Q2421" s="288"/>
      <c r="R2421" s="315" t="str">
        <f>IF(P2417&gt;0,"xy","")</f>
        <v/>
      </c>
      <c r="S2421" s="385" t="str">
        <f t="shared" si="477"/>
        <v/>
      </c>
    </row>
    <row r="2422" spans="2:19" ht="13.5" hidden="1" thickBot="1">
      <c r="B2422" s="609" t="s">
        <v>168</v>
      </c>
      <c r="C2422" s="610"/>
      <c r="D2422" s="611" t="s">
        <v>418</v>
      </c>
      <c r="E2422" s="602"/>
      <c r="F2422" s="603">
        <v>500</v>
      </c>
      <c r="G2422" s="604">
        <f>VLOOKUP(D2417,'ENSAIOS DE ORÇAMENTO'!$C$3:$L$79,10,FALSE)</f>
        <v>0</v>
      </c>
      <c r="H2422" s="605">
        <f>IF(F2422=0,0,IF(F2422&lt;=30,(0.7*F2422+1.45)*G2422,((0.7*30+1.45)+0.58*(F2422-30))*G2422))</f>
        <v>0</v>
      </c>
      <c r="I2422" s="675"/>
      <c r="J2422" s="675"/>
      <c r="K2422" s="606">
        <f t="shared" si="478"/>
        <v>0</v>
      </c>
      <c r="L2422" s="607"/>
      <c r="M2422" s="614"/>
      <c r="N2422" s="614"/>
      <c r="O2422" s="287">
        <f t="shared" si="479"/>
        <v>0</v>
      </c>
      <c r="P2422" s="287">
        <f t="shared" si="480"/>
        <v>0</v>
      </c>
      <c r="Q2422" s="288"/>
      <c r="R2422" s="315" t="str">
        <f>IF(P2417&gt;0,"xy","")</f>
        <v/>
      </c>
      <c r="S2422" s="385" t="str">
        <f t="shared" si="477"/>
        <v/>
      </c>
    </row>
    <row r="2423" spans="2:19" ht="13.5" hidden="1" thickBot="1">
      <c r="B2423" s="609" t="s">
        <v>140</v>
      </c>
      <c r="C2423" s="610" t="s">
        <v>212</v>
      </c>
      <c r="D2423" s="611" t="s">
        <v>154</v>
      </c>
      <c r="E2423" s="602"/>
      <c r="F2423" s="603"/>
      <c r="G2423" s="604"/>
      <c r="H2423" s="605">
        <f>SUM(H2424:H2428)</f>
        <v>476.45643289999998</v>
      </c>
      <c r="I2423" s="675">
        <f>VLOOKUP(D2423,'ENSAIOS DE ORÇAMENTO'!$C$3:$L$79,8,FALSE)</f>
        <v>2005.9763799999998</v>
      </c>
      <c r="J2423" s="675">
        <f t="shared" ref="J2423" si="488">IF(ISBLANK(I2423),"",SUM(H2423:I2423))</f>
        <v>2482.4328128999996</v>
      </c>
      <c r="K2423" s="606">
        <f t="shared" si="478"/>
        <v>3012.43</v>
      </c>
      <c r="L2423" s="607" t="s">
        <v>21</v>
      </c>
      <c r="M2423" s="30"/>
      <c r="N2423" s="30"/>
      <c r="O2423" s="287">
        <f t="shared" si="479"/>
        <v>0</v>
      </c>
      <c r="P2423" s="287">
        <f t="shared" si="480"/>
        <v>0</v>
      </c>
      <c r="Q2423" s="288"/>
      <c r="S2423" s="385" t="str">
        <f t="shared" si="477"/>
        <v/>
      </c>
    </row>
    <row r="2424" spans="2:19" ht="13.5" hidden="1" thickBot="1">
      <c r="B2424" s="609" t="s">
        <v>168</v>
      </c>
      <c r="C2424" s="610"/>
      <c r="D2424" s="611" t="s">
        <v>218</v>
      </c>
      <c r="E2424" s="602"/>
      <c r="F2424" s="603">
        <v>500</v>
      </c>
      <c r="G2424" s="604">
        <f>VLOOKUP(D2423,'ENSAIOS DE ORÇAMENTO'!$C$3:$L$79,4,FALSE)</f>
        <v>0.80657999999999996</v>
      </c>
      <c r="H2424" s="605">
        <f>IF(F2424&lt;=30,(0.51*F2424+4.28)*G2424,((0.51*30+4.28)+0.42*(F2424-30))*G2424)</f>
        <v>175.01172840000001</v>
      </c>
      <c r="I2424" s="675"/>
      <c r="J2424" s="675"/>
      <c r="K2424" s="606">
        <f t="shared" si="478"/>
        <v>0</v>
      </c>
      <c r="L2424" s="607"/>
      <c r="M2424" s="614"/>
      <c r="N2424" s="614"/>
      <c r="O2424" s="287">
        <f t="shared" si="479"/>
        <v>0</v>
      </c>
      <c r="P2424" s="287">
        <f t="shared" si="480"/>
        <v>0</v>
      </c>
      <c r="Q2424" s="288"/>
      <c r="R2424" s="315" t="str">
        <f>IF(P2423&gt;0,"xy","")</f>
        <v/>
      </c>
      <c r="S2424" s="385" t="str">
        <f t="shared" si="477"/>
        <v/>
      </c>
    </row>
    <row r="2425" spans="2:19" ht="13.5" hidden="1" thickBot="1">
      <c r="B2425" s="609" t="s">
        <v>168</v>
      </c>
      <c r="C2425" s="610"/>
      <c r="D2425" s="611" t="s">
        <v>256</v>
      </c>
      <c r="E2425" s="602"/>
      <c r="F2425" s="603">
        <v>180</v>
      </c>
      <c r="G2425" s="604">
        <f>VLOOKUP(D2423,'ENSAIOS DE ORÇAMENTO'!$C$3:$L$79,5,FALSE)</f>
        <v>2.3575999999999997</v>
      </c>
      <c r="H2425" s="605">
        <f>IF(F2425=0,0,IF(F2425&lt;=30,(0.7*F2425+1.45)*G2425,((0.7*30+1.45)+0.58*(F2425-30))*G2425))</f>
        <v>258.03931999999998</v>
      </c>
      <c r="I2425" s="675"/>
      <c r="J2425" s="675"/>
      <c r="K2425" s="606">
        <f t="shared" si="478"/>
        <v>0</v>
      </c>
      <c r="L2425" s="607"/>
      <c r="M2425" s="614"/>
      <c r="N2425" s="614"/>
      <c r="O2425" s="287">
        <f t="shared" si="479"/>
        <v>0</v>
      </c>
      <c r="P2425" s="287">
        <f t="shared" si="480"/>
        <v>0</v>
      </c>
      <c r="Q2425" s="288"/>
      <c r="R2425" s="315" t="str">
        <f>IF(P2423&gt;0,"xy","")</f>
        <v/>
      </c>
      <c r="S2425" s="385" t="str">
        <f t="shared" si="477"/>
        <v/>
      </c>
    </row>
    <row r="2426" spans="2:19" ht="13.5" hidden="1" thickBot="1">
      <c r="B2426" s="609" t="s">
        <v>168</v>
      </c>
      <c r="C2426" s="610"/>
      <c r="D2426" s="611" t="s">
        <v>260</v>
      </c>
      <c r="E2426" s="602"/>
      <c r="F2426" s="603">
        <v>20</v>
      </c>
      <c r="G2426" s="604">
        <f>VLOOKUP(D2423,'ENSAIOS DE ORÇAMENTO'!$C$3:$L$79,6,FALSE)</f>
        <v>2.8094099999999997</v>
      </c>
      <c r="H2426" s="605">
        <f>IF(F2426=0,0,IF(F2426&lt;=30,(0.7*F2426+1.45)*G2426,((0.7*30+1.45)+0.58*(F2426-30))*G2426))</f>
        <v>43.405384499999997</v>
      </c>
      <c r="I2426" s="675"/>
      <c r="J2426" s="675"/>
      <c r="K2426" s="606">
        <f t="shared" si="478"/>
        <v>0</v>
      </c>
      <c r="L2426" s="607"/>
      <c r="M2426" s="614"/>
      <c r="N2426" s="614"/>
      <c r="O2426" s="287">
        <f t="shared" si="479"/>
        <v>0</v>
      </c>
      <c r="P2426" s="287">
        <f t="shared" si="480"/>
        <v>0</v>
      </c>
      <c r="Q2426" s="288"/>
      <c r="R2426" s="243" t="str">
        <f>IF(P2423&gt;0,"xy","")</f>
        <v/>
      </c>
      <c r="S2426" s="385" t="str">
        <f t="shared" si="477"/>
        <v/>
      </c>
    </row>
    <row r="2427" spans="2:19" ht="13.5" hidden="1" thickBot="1">
      <c r="B2427" s="609" t="s">
        <v>168</v>
      </c>
      <c r="C2427" s="610"/>
      <c r="D2427" s="611" t="s">
        <v>417</v>
      </c>
      <c r="E2427" s="602"/>
      <c r="F2427" s="603">
        <v>30</v>
      </c>
      <c r="G2427" s="604">
        <f>VLOOKUP(D2423,'ENSAIOS DE ORÇAMENTO'!$C$3:$L$79,3,FALSE)</f>
        <v>0</v>
      </c>
      <c r="H2427" s="605">
        <f>IF(F2427=0,0,IF(F2427&lt;=30,(0.7*F2427+1.45)*G2427,((0.7*30+1.45)+0.58*(F2427-30))*G2427))</f>
        <v>0</v>
      </c>
      <c r="I2427" s="675"/>
      <c r="J2427" s="675"/>
      <c r="K2427" s="606">
        <f t="shared" si="478"/>
        <v>0</v>
      </c>
      <c r="L2427" s="607"/>
      <c r="M2427" s="614"/>
      <c r="N2427" s="614"/>
      <c r="O2427" s="287">
        <f t="shared" si="479"/>
        <v>0</v>
      </c>
      <c r="P2427" s="287">
        <f t="shared" si="480"/>
        <v>0</v>
      </c>
      <c r="Q2427" s="288"/>
      <c r="R2427" s="315" t="str">
        <f>IF(P2423&gt;0,"xy","")</f>
        <v/>
      </c>
      <c r="S2427" s="385" t="str">
        <f t="shared" si="477"/>
        <v/>
      </c>
    </row>
    <row r="2428" spans="2:19" ht="13.5" hidden="1" thickBot="1">
      <c r="B2428" s="609" t="s">
        <v>168</v>
      </c>
      <c r="C2428" s="610"/>
      <c r="D2428" s="611" t="s">
        <v>418</v>
      </c>
      <c r="E2428" s="602"/>
      <c r="F2428" s="603">
        <v>500</v>
      </c>
      <c r="G2428" s="604">
        <f>VLOOKUP(D2423,'ENSAIOS DE ORÇAMENTO'!$C$3:$L$79,10,FALSE)</f>
        <v>0</v>
      </c>
      <c r="H2428" s="605">
        <f>IF(F2428=0,0,IF(F2428&lt;=30,(0.7*F2428+1.45)*G2428,((0.7*30+1.45)+0.58*(F2428-30))*G2428))</f>
        <v>0</v>
      </c>
      <c r="I2428" s="675"/>
      <c r="J2428" s="675"/>
      <c r="K2428" s="606">
        <f t="shared" si="478"/>
        <v>0</v>
      </c>
      <c r="L2428" s="607"/>
      <c r="M2428" s="614"/>
      <c r="N2428" s="614"/>
      <c r="O2428" s="287">
        <f t="shared" si="479"/>
        <v>0</v>
      </c>
      <c r="P2428" s="287">
        <f t="shared" si="480"/>
        <v>0</v>
      </c>
      <c r="Q2428" s="288"/>
      <c r="R2428" s="315" t="str">
        <f>IF(P2423&gt;0,"xy","")</f>
        <v/>
      </c>
      <c r="S2428" s="385" t="str">
        <f t="shared" si="477"/>
        <v/>
      </c>
    </row>
    <row r="2429" spans="2:19" ht="13.5" hidden="1" thickBot="1">
      <c r="B2429" s="609" t="s">
        <v>141</v>
      </c>
      <c r="C2429" s="610" t="s">
        <v>212</v>
      </c>
      <c r="D2429" s="611" t="s">
        <v>155</v>
      </c>
      <c r="E2429" s="602"/>
      <c r="F2429" s="603"/>
      <c r="G2429" s="604"/>
      <c r="H2429" s="605">
        <f>SUM(H2430:H2434)</f>
        <v>229.69317850000004</v>
      </c>
      <c r="I2429" s="675">
        <f>VLOOKUP(D2429,'ENSAIOS DE ORÇAMENTO'!$C$3:$L$79,8,FALSE)</f>
        <v>3101.3288199999997</v>
      </c>
      <c r="J2429" s="675">
        <f t="shared" ref="J2429" si="489">IF(ISBLANK(I2429),"",SUM(H2429:I2429))</f>
        <v>3331.0219984999999</v>
      </c>
      <c r="K2429" s="606">
        <f t="shared" si="478"/>
        <v>4042.2</v>
      </c>
      <c r="L2429" s="607" t="s">
        <v>21</v>
      </c>
      <c r="M2429" s="30"/>
      <c r="N2429" s="30"/>
      <c r="O2429" s="287">
        <f t="shared" si="479"/>
        <v>0</v>
      </c>
      <c r="P2429" s="287">
        <f t="shared" si="480"/>
        <v>0</v>
      </c>
      <c r="Q2429" s="288"/>
      <c r="S2429" s="385" t="str">
        <f t="shared" si="477"/>
        <v/>
      </c>
    </row>
    <row r="2430" spans="2:19" ht="13.5" hidden="1" thickBot="1">
      <c r="B2430" s="609" t="s">
        <v>168</v>
      </c>
      <c r="C2430" s="610"/>
      <c r="D2430" s="611" t="s">
        <v>218</v>
      </c>
      <c r="E2430" s="602"/>
      <c r="F2430" s="603">
        <v>500</v>
      </c>
      <c r="G2430" s="604">
        <f>VLOOKUP(D2429,'ENSAIOS DE ORÇAMENTO'!$C$3:$L$79,4,FALSE)</f>
        <v>0.38250000000000006</v>
      </c>
      <c r="H2430" s="605">
        <f>IF(F2430&lt;=30,(0.51*F2430+4.28)*G2430,((0.51*30+4.28)+0.42*(F2430-30))*G2430)</f>
        <v>82.994850000000014</v>
      </c>
      <c r="I2430" s="675"/>
      <c r="J2430" s="675"/>
      <c r="K2430" s="606">
        <f t="shared" si="478"/>
        <v>0</v>
      </c>
      <c r="L2430" s="607"/>
      <c r="M2430" s="614"/>
      <c r="N2430" s="614"/>
      <c r="O2430" s="287">
        <f t="shared" si="479"/>
        <v>0</v>
      </c>
      <c r="P2430" s="287">
        <f t="shared" si="480"/>
        <v>0</v>
      </c>
      <c r="Q2430" s="288"/>
      <c r="R2430" s="315" t="str">
        <f>IF(P2429&gt;0,"xy","")</f>
        <v/>
      </c>
      <c r="S2430" s="385" t="str">
        <f t="shared" si="477"/>
        <v/>
      </c>
    </row>
    <row r="2431" spans="2:19" ht="13.5" hidden="1" thickBot="1">
      <c r="B2431" s="609" t="s">
        <v>168</v>
      </c>
      <c r="C2431" s="610"/>
      <c r="D2431" s="611" t="s">
        <v>256</v>
      </c>
      <c r="E2431" s="602"/>
      <c r="F2431" s="603">
        <v>180</v>
      </c>
      <c r="G2431" s="604">
        <f>VLOOKUP(D2429,'ENSAIOS DE ORÇAMENTO'!$C$3:$L$79,5,FALSE)</f>
        <v>1.1483800000000002</v>
      </c>
      <c r="H2431" s="605">
        <f>IF(F2431=0,0,IF(F2431&lt;=30,(0.7*F2431+1.45)*G2431,((0.7*30+1.45)+0.58*(F2431-30))*G2431))</f>
        <v>125.69019100000003</v>
      </c>
      <c r="I2431" s="675"/>
      <c r="J2431" s="675"/>
      <c r="K2431" s="606">
        <f t="shared" si="478"/>
        <v>0</v>
      </c>
      <c r="L2431" s="607"/>
      <c r="M2431" s="614"/>
      <c r="N2431" s="614"/>
      <c r="O2431" s="287">
        <f t="shared" si="479"/>
        <v>0</v>
      </c>
      <c r="P2431" s="287">
        <f t="shared" si="480"/>
        <v>0</v>
      </c>
      <c r="Q2431" s="288"/>
      <c r="R2431" s="315" t="str">
        <f>IF(P2429&gt;0,"xy","")</f>
        <v/>
      </c>
      <c r="S2431" s="385" t="str">
        <f t="shared" si="477"/>
        <v/>
      </c>
    </row>
    <row r="2432" spans="2:19" ht="13.5" hidden="1" thickBot="1">
      <c r="B2432" s="609" t="s">
        <v>168</v>
      </c>
      <c r="C2432" s="610"/>
      <c r="D2432" s="611" t="s">
        <v>260</v>
      </c>
      <c r="E2432" s="602"/>
      <c r="F2432" s="603">
        <v>20</v>
      </c>
      <c r="G2432" s="604">
        <f>VLOOKUP(D2429,'ENSAIOS DE ORÇAMENTO'!$C$3:$L$79,6,FALSE)</f>
        <v>1.35975</v>
      </c>
      <c r="H2432" s="605">
        <f>IF(F2432=0,0,IF(F2432&lt;=30,(0.7*F2432+1.45)*G2432,((0.7*30+1.45)+0.58*(F2432-30))*G2432))</f>
        <v>21.0081375</v>
      </c>
      <c r="I2432" s="675"/>
      <c r="J2432" s="675"/>
      <c r="K2432" s="606">
        <f t="shared" si="478"/>
        <v>0</v>
      </c>
      <c r="L2432" s="607"/>
      <c r="M2432" s="614"/>
      <c r="N2432" s="614"/>
      <c r="O2432" s="287">
        <f t="shared" si="479"/>
        <v>0</v>
      </c>
      <c r="P2432" s="287">
        <f t="shared" si="480"/>
        <v>0</v>
      </c>
      <c r="Q2432" s="288"/>
      <c r="R2432" s="243" t="str">
        <f>IF(P2429&gt;0,"xy","")</f>
        <v/>
      </c>
      <c r="S2432" s="385" t="str">
        <f t="shared" si="477"/>
        <v/>
      </c>
    </row>
    <row r="2433" spans="2:19" ht="13.5" hidden="1" thickBot="1">
      <c r="B2433" s="609" t="s">
        <v>168</v>
      </c>
      <c r="C2433" s="610"/>
      <c r="D2433" s="611" t="s">
        <v>417</v>
      </c>
      <c r="E2433" s="602"/>
      <c r="F2433" s="603">
        <v>30</v>
      </c>
      <c r="G2433" s="604">
        <f>VLOOKUP(D2429,'ENSAIOS DE ORÇAMENTO'!$C$3:$L$79,3,FALSE)</f>
        <v>0</v>
      </c>
      <c r="H2433" s="605">
        <f>IF(F2433=0,0,IF(F2433&lt;=30,(0.7*F2433+1.45)*G2433,((0.7*30+1.45)+0.58*(F2433-30))*G2433))</f>
        <v>0</v>
      </c>
      <c r="I2433" s="675"/>
      <c r="J2433" s="675"/>
      <c r="K2433" s="606">
        <f t="shared" si="478"/>
        <v>0</v>
      </c>
      <c r="L2433" s="607"/>
      <c r="M2433" s="614"/>
      <c r="N2433" s="614"/>
      <c r="O2433" s="287">
        <f t="shared" si="479"/>
        <v>0</v>
      </c>
      <c r="P2433" s="287">
        <f t="shared" si="480"/>
        <v>0</v>
      </c>
      <c r="Q2433" s="288"/>
      <c r="R2433" s="315" t="str">
        <f>IF(P2429&gt;0,"xy","")</f>
        <v/>
      </c>
      <c r="S2433" s="385" t="str">
        <f t="shared" si="477"/>
        <v/>
      </c>
    </row>
    <row r="2434" spans="2:19" ht="13.5" hidden="1" thickBot="1">
      <c r="B2434" s="609" t="s">
        <v>168</v>
      </c>
      <c r="C2434" s="610"/>
      <c r="D2434" s="611" t="s">
        <v>418</v>
      </c>
      <c r="E2434" s="602"/>
      <c r="F2434" s="603">
        <v>500</v>
      </c>
      <c r="G2434" s="604">
        <f>VLOOKUP(D2429,'ENSAIOS DE ORÇAMENTO'!$C$3:$L$79,10,FALSE)</f>
        <v>0</v>
      </c>
      <c r="H2434" s="605">
        <f>IF(F2434=0,0,IF(F2434&lt;=30,(0.7*F2434+1.45)*G2434,((0.7*30+1.45)+0.58*(F2434-30))*G2434))</f>
        <v>0</v>
      </c>
      <c r="I2434" s="675"/>
      <c r="J2434" s="675"/>
      <c r="K2434" s="606">
        <f t="shared" si="478"/>
        <v>0</v>
      </c>
      <c r="L2434" s="607"/>
      <c r="M2434" s="614"/>
      <c r="N2434" s="614"/>
      <c r="O2434" s="287">
        <f t="shared" si="479"/>
        <v>0</v>
      </c>
      <c r="P2434" s="287">
        <f t="shared" si="480"/>
        <v>0</v>
      </c>
      <c r="Q2434" s="288"/>
      <c r="R2434" s="315" t="str">
        <f>IF(P2429&gt;0,"xy","")</f>
        <v/>
      </c>
      <c r="S2434" s="385" t="str">
        <f t="shared" si="477"/>
        <v/>
      </c>
    </row>
    <row r="2435" spans="2:19" ht="13.5" hidden="1" thickBot="1">
      <c r="B2435" s="609" t="s">
        <v>142</v>
      </c>
      <c r="C2435" s="610" t="s">
        <v>212</v>
      </c>
      <c r="D2435" s="611" t="s">
        <v>156</v>
      </c>
      <c r="E2435" s="602"/>
      <c r="F2435" s="603"/>
      <c r="G2435" s="604"/>
      <c r="H2435" s="605">
        <f>SUM(H2436:H2440)</f>
        <v>258.12663100000003</v>
      </c>
      <c r="I2435" s="675">
        <f>VLOOKUP(D2435,'ENSAIOS DE ORÇAMENTO'!$C$3:$L$79,8,FALSE)</f>
        <v>3431.8226699999996</v>
      </c>
      <c r="J2435" s="675">
        <f t="shared" ref="J2435" si="490">IF(ISBLANK(I2435),"",SUM(H2435:I2435))</f>
        <v>3689.9493009999997</v>
      </c>
      <c r="K2435" s="606">
        <f t="shared" si="478"/>
        <v>4477.75</v>
      </c>
      <c r="L2435" s="607" t="s">
        <v>21</v>
      </c>
      <c r="M2435" s="30"/>
      <c r="N2435" s="30"/>
      <c r="O2435" s="287">
        <f t="shared" si="479"/>
        <v>0</v>
      </c>
      <c r="P2435" s="287">
        <f t="shared" si="480"/>
        <v>0</v>
      </c>
      <c r="Q2435" s="288"/>
      <c r="S2435" s="385" t="str">
        <f t="shared" si="477"/>
        <v/>
      </c>
    </row>
    <row r="2436" spans="2:19" ht="13.5" hidden="1" thickBot="1">
      <c r="B2436" s="609" t="s">
        <v>168</v>
      </c>
      <c r="C2436" s="610"/>
      <c r="D2436" s="611" t="s">
        <v>218</v>
      </c>
      <c r="E2436" s="602"/>
      <c r="F2436" s="603">
        <v>500</v>
      </c>
      <c r="G2436" s="604">
        <f>VLOOKUP(D2435,'ENSAIOS DE ORÇAMENTO'!$C$3:$L$79,4,FALSE)</f>
        <v>0.43200000000000005</v>
      </c>
      <c r="H2436" s="605">
        <f>IF(F2436&lt;=30,(0.51*F2436+4.28)*G2436,((0.51*30+4.28)+0.42*(F2436-30))*G2436)</f>
        <v>93.735360000000014</v>
      </c>
      <c r="I2436" s="675"/>
      <c r="J2436" s="675"/>
      <c r="K2436" s="606">
        <f t="shared" si="478"/>
        <v>0</v>
      </c>
      <c r="L2436" s="607"/>
      <c r="M2436" s="614"/>
      <c r="N2436" s="614"/>
      <c r="O2436" s="287">
        <f t="shared" si="479"/>
        <v>0</v>
      </c>
      <c r="P2436" s="287">
        <f t="shared" si="480"/>
        <v>0</v>
      </c>
      <c r="Q2436" s="288"/>
      <c r="R2436" s="315" t="str">
        <f>IF(P2435&gt;0,"xy","")</f>
        <v/>
      </c>
      <c r="S2436" s="385" t="str">
        <f t="shared" si="477"/>
        <v/>
      </c>
    </row>
    <row r="2437" spans="2:19" ht="13.5" hidden="1" thickBot="1">
      <c r="B2437" s="609" t="s">
        <v>168</v>
      </c>
      <c r="C2437" s="610"/>
      <c r="D2437" s="611" t="s">
        <v>256</v>
      </c>
      <c r="E2437" s="602"/>
      <c r="F2437" s="603">
        <v>180</v>
      </c>
      <c r="G2437" s="604">
        <f>VLOOKUP(D2435,'ENSAIOS DE ORÇAMENTO'!$C$3:$L$79,5,FALSE)</f>
        <v>1.28653</v>
      </c>
      <c r="H2437" s="605">
        <f>IF(F2437=0,0,IF(F2437&lt;=30,(0.7*F2437+1.45)*G2437,((0.7*30+1.45)+0.58*(F2437-30))*G2437))</f>
        <v>140.8107085</v>
      </c>
      <c r="I2437" s="675"/>
      <c r="J2437" s="675"/>
      <c r="K2437" s="606">
        <f t="shared" si="478"/>
        <v>0</v>
      </c>
      <c r="L2437" s="607"/>
      <c r="M2437" s="614"/>
      <c r="N2437" s="614"/>
      <c r="O2437" s="287">
        <f t="shared" si="479"/>
        <v>0</v>
      </c>
      <c r="P2437" s="287">
        <f t="shared" si="480"/>
        <v>0</v>
      </c>
      <c r="Q2437" s="288"/>
      <c r="R2437" s="315" t="str">
        <f>IF(P2435&gt;0,"xy","")</f>
        <v/>
      </c>
      <c r="S2437" s="385" t="str">
        <f t="shared" si="477"/>
        <v/>
      </c>
    </row>
    <row r="2438" spans="2:19" ht="13.5" hidden="1" thickBot="1">
      <c r="B2438" s="609" t="s">
        <v>168</v>
      </c>
      <c r="C2438" s="610"/>
      <c r="D2438" s="611" t="s">
        <v>260</v>
      </c>
      <c r="E2438" s="602"/>
      <c r="F2438" s="603">
        <v>20</v>
      </c>
      <c r="G2438" s="604">
        <f>VLOOKUP(D2435,'ENSAIOS DE ORÇAMENTO'!$C$3:$L$79,6,FALSE)</f>
        <v>1.5262500000000001</v>
      </c>
      <c r="H2438" s="605">
        <f>IF(F2438=0,0,IF(F2438&lt;=30,(0.7*F2438+1.45)*G2438,((0.7*30+1.45)+0.58*(F2438-30))*G2438))</f>
        <v>23.580562499999999</v>
      </c>
      <c r="I2438" s="675"/>
      <c r="J2438" s="675"/>
      <c r="K2438" s="606">
        <f t="shared" si="478"/>
        <v>0</v>
      </c>
      <c r="L2438" s="607"/>
      <c r="M2438" s="614"/>
      <c r="N2438" s="614"/>
      <c r="O2438" s="287">
        <f t="shared" si="479"/>
        <v>0</v>
      </c>
      <c r="P2438" s="287">
        <f t="shared" si="480"/>
        <v>0</v>
      </c>
      <c r="Q2438" s="288"/>
      <c r="R2438" s="243" t="str">
        <f>IF(P2435&gt;0,"xy","")</f>
        <v/>
      </c>
      <c r="S2438" s="385" t="str">
        <f t="shared" si="477"/>
        <v/>
      </c>
    </row>
    <row r="2439" spans="2:19" ht="13.5" hidden="1" thickBot="1">
      <c r="B2439" s="609" t="s">
        <v>168</v>
      </c>
      <c r="C2439" s="610"/>
      <c r="D2439" s="611" t="s">
        <v>417</v>
      </c>
      <c r="E2439" s="602"/>
      <c r="F2439" s="603">
        <v>30</v>
      </c>
      <c r="G2439" s="604">
        <f>VLOOKUP(D2435,'ENSAIOS DE ORÇAMENTO'!$C$3:$L$79,3,FALSE)</f>
        <v>0</v>
      </c>
      <c r="H2439" s="605">
        <f>IF(F2439=0,0,IF(F2439&lt;=30,(0.7*F2439+1.45)*G2439,((0.7*30+1.45)+0.58*(F2439-30))*G2439))</f>
        <v>0</v>
      </c>
      <c r="I2439" s="675"/>
      <c r="J2439" s="675"/>
      <c r="K2439" s="606">
        <f t="shared" si="478"/>
        <v>0</v>
      </c>
      <c r="L2439" s="607"/>
      <c r="M2439" s="614"/>
      <c r="N2439" s="614"/>
      <c r="O2439" s="287">
        <f t="shared" si="479"/>
        <v>0</v>
      </c>
      <c r="P2439" s="287">
        <f t="shared" si="480"/>
        <v>0</v>
      </c>
      <c r="Q2439" s="288"/>
      <c r="R2439" s="315" t="str">
        <f>IF(P2435&gt;0,"xy","")</f>
        <v/>
      </c>
      <c r="S2439" s="385" t="str">
        <f t="shared" si="477"/>
        <v/>
      </c>
    </row>
    <row r="2440" spans="2:19" ht="13.5" hidden="1" thickBot="1">
      <c r="B2440" s="609" t="s">
        <v>168</v>
      </c>
      <c r="C2440" s="610"/>
      <c r="D2440" s="611" t="s">
        <v>418</v>
      </c>
      <c r="E2440" s="602"/>
      <c r="F2440" s="603">
        <v>500</v>
      </c>
      <c r="G2440" s="604">
        <f>VLOOKUP(D2435,'ENSAIOS DE ORÇAMENTO'!$C$3:$L$79,10,FALSE)</f>
        <v>0</v>
      </c>
      <c r="H2440" s="605">
        <f>IF(F2440=0,0,IF(F2440&lt;=30,(0.7*F2440+1.45)*G2440,((0.7*30+1.45)+0.58*(F2440-30))*G2440))</f>
        <v>0</v>
      </c>
      <c r="I2440" s="675"/>
      <c r="J2440" s="675"/>
      <c r="K2440" s="606">
        <f t="shared" si="478"/>
        <v>0</v>
      </c>
      <c r="L2440" s="607"/>
      <c r="M2440" s="614"/>
      <c r="N2440" s="614"/>
      <c r="O2440" s="287">
        <f t="shared" si="479"/>
        <v>0</v>
      </c>
      <c r="P2440" s="287">
        <f t="shared" si="480"/>
        <v>0</v>
      </c>
      <c r="Q2440" s="288"/>
      <c r="R2440" s="315" t="str">
        <f>IF(P2435&gt;0,"xy","")</f>
        <v/>
      </c>
      <c r="S2440" s="385" t="str">
        <f t="shared" ref="S2440:S2503" si="491">IF(R2440="x","x",IF(R2440="y","x",IF(R2440="xy","x",IF(P2440&gt;0,"x",""))))</f>
        <v/>
      </c>
    </row>
    <row r="2441" spans="2:19" ht="13.5" hidden="1" thickBot="1">
      <c r="B2441" s="609" t="s">
        <v>143</v>
      </c>
      <c r="C2441" s="610" t="s">
        <v>212</v>
      </c>
      <c r="D2441" s="611" t="s">
        <v>157</v>
      </c>
      <c r="E2441" s="602"/>
      <c r="F2441" s="603"/>
      <c r="G2441" s="604"/>
      <c r="H2441" s="605">
        <f>SUM(H2442:H2446)</f>
        <v>299.82902799999999</v>
      </c>
      <c r="I2441" s="675">
        <f>VLOOKUP(D2441,'ENSAIOS DE ORÇAMENTO'!$C$3:$L$79,8,FALSE)</f>
        <v>3918.0596499999992</v>
      </c>
      <c r="J2441" s="675">
        <f t="shared" ref="J2441" si="492">IF(ISBLANK(I2441),"",SUM(H2441:I2441))</f>
        <v>4217.8886779999993</v>
      </c>
      <c r="K2441" s="606">
        <f t="shared" ref="K2441:K2504" si="493">IF(ISBLANK(I2441),0,ROUND(J2441*(1+$F$10)*(1+$F$11*E2441),2))</f>
        <v>5118.41</v>
      </c>
      <c r="L2441" s="607" t="s">
        <v>21</v>
      </c>
      <c r="M2441" s="30"/>
      <c r="N2441" s="30"/>
      <c r="O2441" s="287">
        <f t="shared" si="479"/>
        <v>0</v>
      </c>
      <c r="P2441" s="287">
        <f t="shared" si="480"/>
        <v>0</v>
      </c>
      <c r="Q2441" s="288"/>
      <c r="S2441" s="385" t="str">
        <f t="shared" si="491"/>
        <v/>
      </c>
    </row>
    <row r="2442" spans="2:19" ht="13.5" hidden="1" thickBot="1">
      <c r="B2442" s="609" t="s">
        <v>168</v>
      </c>
      <c r="C2442" s="610"/>
      <c r="D2442" s="611" t="s">
        <v>218</v>
      </c>
      <c r="E2442" s="602"/>
      <c r="F2442" s="603">
        <v>500</v>
      </c>
      <c r="G2442" s="604">
        <f>VLOOKUP(D2441,'ENSAIOS DE ORÇAMENTO'!$C$3:$L$79,4,FALSE)</f>
        <v>0.50459999999999994</v>
      </c>
      <c r="H2442" s="605">
        <f>IF(F2442&lt;=30,(0.51*F2442+4.28)*G2442,((0.51*30+4.28)+0.42*(F2442-30))*G2442)</f>
        <v>109.488108</v>
      </c>
      <c r="I2442" s="675"/>
      <c r="J2442" s="675"/>
      <c r="K2442" s="606">
        <f t="shared" si="493"/>
        <v>0</v>
      </c>
      <c r="L2442" s="607"/>
      <c r="M2442" s="614"/>
      <c r="N2442" s="614"/>
      <c r="O2442" s="287">
        <f t="shared" si="479"/>
        <v>0</v>
      </c>
      <c r="P2442" s="287">
        <f t="shared" si="480"/>
        <v>0</v>
      </c>
      <c r="Q2442" s="288"/>
      <c r="R2442" s="315" t="str">
        <f>IF(P2441&gt;0,"xy","")</f>
        <v/>
      </c>
      <c r="S2442" s="385" t="str">
        <f t="shared" si="491"/>
        <v/>
      </c>
    </row>
    <row r="2443" spans="2:19" ht="13.5" hidden="1" thickBot="1">
      <c r="B2443" s="609" t="s">
        <v>168</v>
      </c>
      <c r="C2443" s="610"/>
      <c r="D2443" s="611" t="s">
        <v>256</v>
      </c>
      <c r="E2443" s="602"/>
      <c r="F2443" s="603">
        <v>180</v>
      </c>
      <c r="G2443" s="604">
        <f>VLOOKUP(D2441,'ENSAIOS DE ORÇAMENTO'!$C$3:$L$79,5,FALSE)</f>
        <v>1.48915</v>
      </c>
      <c r="H2443" s="605">
        <f>IF(F2443=0,0,IF(F2443&lt;=30,(0.7*F2443+1.45)*G2443,((0.7*30+1.45)+0.58*(F2443-30))*G2443))</f>
        <v>162.98746750000001</v>
      </c>
      <c r="I2443" s="675"/>
      <c r="J2443" s="675"/>
      <c r="K2443" s="606">
        <f t="shared" si="493"/>
        <v>0</v>
      </c>
      <c r="L2443" s="607"/>
      <c r="M2443" s="614"/>
      <c r="N2443" s="614"/>
      <c r="O2443" s="287">
        <f t="shared" ref="O2443:O2506" si="494">IF(ISBLANK(M2443),0,ROUND(K2443*M2443,2))</f>
        <v>0</v>
      </c>
      <c r="P2443" s="287">
        <f t="shared" ref="P2443:P2506" si="495">IF(ISBLANK(N2443),0,ROUND(M2443*N2443,2))</f>
        <v>0</v>
      </c>
      <c r="Q2443" s="288"/>
      <c r="R2443" s="315" t="str">
        <f>IF(P2441&gt;0,"xy","")</f>
        <v/>
      </c>
      <c r="S2443" s="385" t="str">
        <f t="shared" si="491"/>
        <v/>
      </c>
    </row>
    <row r="2444" spans="2:19" ht="13.5" hidden="1" thickBot="1">
      <c r="B2444" s="609" t="s">
        <v>168</v>
      </c>
      <c r="C2444" s="610"/>
      <c r="D2444" s="611" t="s">
        <v>260</v>
      </c>
      <c r="E2444" s="602"/>
      <c r="F2444" s="603">
        <v>20</v>
      </c>
      <c r="G2444" s="604">
        <f>VLOOKUP(D2441,'ENSAIOS DE ORÇAMENTO'!$C$3:$L$79,6,FALSE)</f>
        <v>1.7704500000000001</v>
      </c>
      <c r="H2444" s="605">
        <f>IF(F2444=0,0,IF(F2444&lt;=30,(0.7*F2444+1.45)*G2444,((0.7*30+1.45)+0.58*(F2444-30))*G2444))</f>
        <v>27.3534525</v>
      </c>
      <c r="I2444" s="675"/>
      <c r="J2444" s="675"/>
      <c r="K2444" s="606">
        <f t="shared" si="493"/>
        <v>0</v>
      </c>
      <c r="L2444" s="607"/>
      <c r="M2444" s="614"/>
      <c r="N2444" s="614"/>
      <c r="O2444" s="287">
        <f t="shared" si="494"/>
        <v>0</v>
      </c>
      <c r="P2444" s="287">
        <f t="shared" si="495"/>
        <v>0</v>
      </c>
      <c r="Q2444" s="288"/>
      <c r="R2444" s="243" t="str">
        <f>IF(P2441&gt;0,"xy","")</f>
        <v/>
      </c>
      <c r="S2444" s="385" t="str">
        <f t="shared" si="491"/>
        <v/>
      </c>
    </row>
    <row r="2445" spans="2:19" ht="13.5" hidden="1" thickBot="1">
      <c r="B2445" s="609" t="s">
        <v>168</v>
      </c>
      <c r="C2445" s="610"/>
      <c r="D2445" s="611" t="s">
        <v>417</v>
      </c>
      <c r="E2445" s="602"/>
      <c r="F2445" s="603">
        <v>30</v>
      </c>
      <c r="G2445" s="604">
        <f>VLOOKUP(D2441,'ENSAIOS DE ORÇAMENTO'!$C$3:$L$79,3,FALSE)</f>
        <v>0</v>
      </c>
      <c r="H2445" s="605">
        <f>IF(F2445=0,0,IF(F2445&lt;=30,(0.7*F2445+1.45)*G2445,((0.7*30+1.45)+0.58*(F2445-30))*G2445))</f>
        <v>0</v>
      </c>
      <c r="I2445" s="675"/>
      <c r="J2445" s="675"/>
      <c r="K2445" s="606">
        <f t="shared" si="493"/>
        <v>0</v>
      </c>
      <c r="L2445" s="607"/>
      <c r="M2445" s="614"/>
      <c r="N2445" s="614"/>
      <c r="O2445" s="287">
        <f t="shared" si="494"/>
        <v>0</v>
      </c>
      <c r="P2445" s="287">
        <f t="shared" si="495"/>
        <v>0</v>
      </c>
      <c r="Q2445" s="288"/>
      <c r="R2445" s="315" t="str">
        <f>IF(P2441&gt;0,"xy","")</f>
        <v/>
      </c>
      <c r="S2445" s="385" t="str">
        <f t="shared" si="491"/>
        <v/>
      </c>
    </row>
    <row r="2446" spans="2:19" ht="13.5" hidden="1" thickBot="1">
      <c r="B2446" s="609" t="s">
        <v>168</v>
      </c>
      <c r="C2446" s="610"/>
      <c r="D2446" s="611" t="s">
        <v>418</v>
      </c>
      <c r="E2446" s="602"/>
      <c r="F2446" s="603">
        <v>500</v>
      </c>
      <c r="G2446" s="604">
        <f>VLOOKUP(D2441,'ENSAIOS DE ORÇAMENTO'!$C$3:$L$79,10,FALSE)</f>
        <v>0</v>
      </c>
      <c r="H2446" s="605">
        <f>IF(F2446=0,0,IF(F2446&lt;=30,(0.7*F2446+1.45)*G2446,((0.7*30+1.45)+0.58*(F2446-30))*G2446))</f>
        <v>0</v>
      </c>
      <c r="I2446" s="675"/>
      <c r="J2446" s="675"/>
      <c r="K2446" s="606">
        <f t="shared" si="493"/>
        <v>0</v>
      </c>
      <c r="L2446" s="607"/>
      <c r="M2446" s="614"/>
      <c r="N2446" s="614"/>
      <c r="O2446" s="287">
        <f t="shared" si="494"/>
        <v>0</v>
      </c>
      <c r="P2446" s="287">
        <f t="shared" si="495"/>
        <v>0</v>
      </c>
      <c r="Q2446" s="288"/>
      <c r="R2446" s="315" t="str">
        <f>IF(P2441&gt;0,"xy","")</f>
        <v/>
      </c>
      <c r="S2446" s="385" t="str">
        <f t="shared" si="491"/>
        <v/>
      </c>
    </row>
    <row r="2447" spans="2:19" ht="13.5" hidden="1" thickBot="1">
      <c r="B2447" s="609" t="s">
        <v>47</v>
      </c>
      <c r="C2447" s="610" t="s">
        <v>212</v>
      </c>
      <c r="D2447" s="611" t="s">
        <v>158</v>
      </c>
      <c r="E2447" s="602"/>
      <c r="F2447" s="603"/>
      <c r="G2447" s="604"/>
      <c r="H2447" s="605">
        <f>SUM(H2448:H2452)</f>
        <v>379.95714050000009</v>
      </c>
      <c r="I2447" s="675">
        <f>VLOOKUP(D2447,'ENSAIOS DE ORÇAMENTO'!$C$3:$L$79,8,FALSE)</f>
        <v>4723.1767499999996</v>
      </c>
      <c r="J2447" s="675">
        <f t="shared" ref="J2447" si="496">IF(ISBLANK(I2447),"",SUM(H2447:I2447))</f>
        <v>5103.1338904999993</v>
      </c>
      <c r="K2447" s="606">
        <f t="shared" si="493"/>
        <v>6192.65</v>
      </c>
      <c r="L2447" s="607" t="s">
        <v>21</v>
      </c>
      <c r="M2447" s="30"/>
      <c r="N2447" s="30"/>
      <c r="O2447" s="287">
        <f t="shared" si="494"/>
        <v>0</v>
      </c>
      <c r="P2447" s="287">
        <f t="shared" si="495"/>
        <v>0</v>
      </c>
      <c r="Q2447" s="288"/>
      <c r="S2447" s="385" t="str">
        <f t="shared" si="491"/>
        <v/>
      </c>
    </row>
    <row r="2448" spans="2:19" ht="13.5" hidden="1" thickBot="1">
      <c r="B2448" s="609" t="s">
        <v>168</v>
      </c>
      <c r="C2448" s="610"/>
      <c r="D2448" s="611" t="s">
        <v>218</v>
      </c>
      <c r="E2448" s="602"/>
      <c r="F2448" s="603">
        <v>500</v>
      </c>
      <c r="G2448" s="604">
        <f>VLOOKUP(D2447,'ENSAIOS DE ORÇAMENTO'!$C$3:$L$79,4,FALSE)</f>
        <v>0.6411</v>
      </c>
      <c r="H2448" s="605">
        <f>IF(F2448&lt;=30,(0.51*F2448+4.28)*G2448,((0.51*30+4.28)+0.42*(F2448-30))*G2448)</f>
        <v>139.10587800000002</v>
      </c>
      <c r="I2448" s="675"/>
      <c r="J2448" s="675"/>
      <c r="K2448" s="606">
        <f t="shared" si="493"/>
        <v>0</v>
      </c>
      <c r="L2448" s="607"/>
      <c r="M2448" s="614"/>
      <c r="N2448" s="614"/>
      <c r="O2448" s="287">
        <f t="shared" si="494"/>
        <v>0</v>
      </c>
      <c r="P2448" s="287">
        <f t="shared" si="495"/>
        <v>0</v>
      </c>
      <c r="Q2448" s="288"/>
      <c r="R2448" s="315" t="str">
        <f>IF(P2447&gt;0,"xy","")</f>
        <v/>
      </c>
      <c r="S2448" s="385" t="str">
        <f t="shared" si="491"/>
        <v/>
      </c>
    </row>
    <row r="2449" spans="2:19" ht="13.5" hidden="1" thickBot="1">
      <c r="B2449" s="609" t="s">
        <v>168</v>
      </c>
      <c r="C2449" s="610"/>
      <c r="D2449" s="611" t="s">
        <v>256</v>
      </c>
      <c r="E2449" s="602"/>
      <c r="F2449" s="603">
        <v>180</v>
      </c>
      <c r="G2449" s="604">
        <f>VLOOKUP(D2447,'ENSAIOS DE ORÇAMENTO'!$C$3:$L$79,5,FALSE)</f>
        <v>1.8840500000000002</v>
      </c>
      <c r="H2449" s="605">
        <f>IF(F2449=0,0,IF(F2449&lt;=30,(0.7*F2449+1.45)*G2449,((0.7*30+1.45)+0.58*(F2449-30))*G2449))</f>
        <v>206.20927250000003</v>
      </c>
      <c r="I2449" s="675"/>
      <c r="J2449" s="675"/>
      <c r="K2449" s="606">
        <f t="shared" si="493"/>
        <v>0</v>
      </c>
      <c r="L2449" s="607"/>
      <c r="M2449" s="614"/>
      <c r="N2449" s="614"/>
      <c r="O2449" s="287">
        <f t="shared" si="494"/>
        <v>0</v>
      </c>
      <c r="P2449" s="287">
        <f t="shared" si="495"/>
        <v>0</v>
      </c>
      <c r="Q2449" s="288"/>
      <c r="R2449" s="315" t="str">
        <f>IF(P2447&gt;0,"xy","")</f>
        <v/>
      </c>
      <c r="S2449" s="385" t="str">
        <f t="shared" si="491"/>
        <v/>
      </c>
    </row>
    <row r="2450" spans="2:19" ht="13.5" hidden="1" thickBot="1">
      <c r="B2450" s="609" t="s">
        <v>168</v>
      </c>
      <c r="C2450" s="610"/>
      <c r="D2450" s="611" t="s">
        <v>260</v>
      </c>
      <c r="E2450" s="602"/>
      <c r="F2450" s="603">
        <v>20</v>
      </c>
      <c r="G2450" s="604">
        <f>VLOOKUP(D2447,'ENSAIOS DE ORÇAMENTO'!$C$3:$L$79,6,FALSE)</f>
        <v>2.2422</v>
      </c>
      <c r="H2450" s="605">
        <f>IF(F2450=0,0,IF(F2450&lt;=30,(0.7*F2450+1.45)*G2450,((0.7*30+1.45)+0.58*(F2450-30))*G2450))</f>
        <v>34.64199</v>
      </c>
      <c r="I2450" s="675"/>
      <c r="J2450" s="675"/>
      <c r="K2450" s="606">
        <f t="shared" si="493"/>
        <v>0</v>
      </c>
      <c r="L2450" s="607"/>
      <c r="M2450" s="614"/>
      <c r="N2450" s="614"/>
      <c r="O2450" s="287">
        <f t="shared" si="494"/>
        <v>0</v>
      </c>
      <c r="P2450" s="287">
        <f t="shared" si="495"/>
        <v>0</v>
      </c>
      <c r="Q2450" s="288"/>
      <c r="R2450" s="243" t="str">
        <f>IF(P2447&gt;0,"xy","")</f>
        <v/>
      </c>
      <c r="S2450" s="385" t="str">
        <f t="shared" si="491"/>
        <v/>
      </c>
    </row>
    <row r="2451" spans="2:19" ht="13.5" hidden="1" thickBot="1">
      <c r="B2451" s="609" t="s">
        <v>168</v>
      </c>
      <c r="C2451" s="610"/>
      <c r="D2451" s="611" t="s">
        <v>417</v>
      </c>
      <c r="E2451" s="602"/>
      <c r="F2451" s="603">
        <v>30</v>
      </c>
      <c r="G2451" s="604">
        <f>VLOOKUP(D2447,'ENSAIOS DE ORÇAMENTO'!$C$3:$L$79,3,FALSE)</f>
        <v>0</v>
      </c>
      <c r="H2451" s="605">
        <f>IF(F2451=0,0,IF(F2451&lt;=30,(0.7*F2451+1.45)*G2451,((0.7*30+1.45)+0.58*(F2451-30))*G2451))</f>
        <v>0</v>
      </c>
      <c r="I2451" s="675"/>
      <c r="J2451" s="675"/>
      <c r="K2451" s="606">
        <f t="shared" si="493"/>
        <v>0</v>
      </c>
      <c r="L2451" s="607"/>
      <c r="M2451" s="614"/>
      <c r="N2451" s="614"/>
      <c r="O2451" s="287">
        <f t="shared" si="494"/>
        <v>0</v>
      </c>
      <c r="P2451" s="287">
        <f t="shared" si="495"/>
        <v>0</v>
      </c>
      <c r="Q2451" s="288"/>
      <c r="R2451" s="315" t="str">
        <f>IF(P2447&gt;0,"xy","")</f>
        <v/>
      </c>
      <c r="S2451" s="385" t="str">
        <f t="shared" si="491"/>
        <v/>
      </c>
    </row>
    <row r="2452" spans="2:19" ht="13.5" hidden="1" thickBot="1">
      <c r="B2452" s="609" t="s">
        <v>168</v>
      </c>
      <c r="C2452" s="610"/>
      <c r="D2452" s="611" t="s">
        <v>418</v>
      </c>
      <c r="E2452" s="602"/>
      <c r="F2452" s="603">
        <v>500</v>
      </c>
      <c r="G2452" s="604">
        <f>VLOOKUP(D2447,'ENSAIOS DE ORÇAMENTO'!$C$3:$L$79,10,FALSE)</f>
        <v>0</v>
      </c>
      <c r="H2452" s="605">
        <f>IF(F2452=0,0,IF(F2452&lt;=30,(0.7*F2452+1.45)*G2452,((0.7*30+1.45)+0.58*(F2452-30))*G2452))</f>
        <v>0</v>
      </c>
      <c r="I2452" s="675"/>
      <c r="J2452" s="675"/>
      <c r="K2452" s="606">
        <f t="shared" si="493"/>
        <v>0</v>
      </c>
      <c r="L2452" s="607"/>
      <c r="M2452" s="614"/>
      <c r="N2452" s="614"/>
      <c r="O2452" s="287">
        <f t="shared" si="494"/>
        <v>0</v>
      </c>
      <c r="P2452" s="287">
        <f t="shared" si="495"/>
        <v>0</v>
      </c>
      <c r="Q2452" s="288"/>
      <c r="R2452" s="315" t="str">
        <f>IF(P2447&gt;0,"xy","")</f>
        <v/>
      </c>
      <c r="S2452" s="385" t="str">
        <f t="shared" si="491"/>
        <v/>
      </c>
    </row>
    <row r="2453" spans="2:19" ht="13.5" hidden="1" thickBot="1">
      <c r="B2453" s="609" t="s">
        <v>144</v>
      </c>
      <c r="C2453" s="610" t="s">
        <v>212</v>
      </c>
      <c r="D2453" s="611" t="s">
        <v>159</v>
      </c>
      <c r="E2453" s="602"/>
      <c r="F2453" s="603"/>
      <c r="G2453" s="604"/>
      <c r="H2453" s="605">
        <f>SUM(H2454:H2458)</f>
        <v>476.45643289999998</v>
      </c>
      <c r="I2453" s="675">
        <f>VLOOKUP(D2453,'ENSAIOS DE ORÇAMENTO'!$C$3:$L$79,8,FALSE)</f>
        <v>5696.1854399999984</v>
      </c>
      <c r="J2453" s="675">
        <f t="shared" ref="J2453" si="497">IF(ISBLANK(I2453),"",SUM(H2453:I2453))</f>
        <v>6172.6418728999979</v>
      </c>
      <c r="K2453" s="606">
        <f t="shared" si="493"/>
        <v>7490.5</v>
      </c>
      <c r="L2453" s="607" t="s">
        <v>21</v>
      </c>
      <c r="M2453" s="30"/>
      <c r="N2453" s="30"/>
      <c r="O2453" s="287">
        <f t="shared" si="494"/>
        <v>0</v>
      </c>
      <c r="P2453" s="287">
        <f t="shared" si="495"/>
        <v>0</v>
      </c>
      <c r="Q2453" s="288"/>
      <c r="S2453" s="385" t="str">
        <f t="shared" si="491"/>
        <v/>
      </c>
    </row>
    <row r="2454" spans="2:19" ht="13.5" hidden="1" thickBot="1">
      <c r="B2454" s="609" t="s">
        <v>168</v>
      </c>
      <c r="C2454" s="610"/>
      <c r="D2454" s="611" t="s">
        <v>218</v>
      </c>
      <c r="E2454" s="602"/>
      <c r="F2454" s="603">
        <v>500</v>
      </c>
      <c r="G2454" s="604">
        <f>VLOOKUP(D2453,'ENSAIOS DE ORÇAMENTO'!$C$3:$L$79,4,FALSE)</f>
        <v>0.80657999999999996</v>
      </c>
      <c r="H2454" s="605">
        <f>IF(F2454&lt;=30,(0.51*F2454+4.28)*G2454,((0.51*30+4.28)+0.42*(F2454-30))*G2454)</f>
        <v>175.01172840000001</v>
      </c>
      <c r="I2454" s="675"/>
      <c r="J2454" s="675"/>
      <c r="K2454" s="606">
        <f t="shared" si="493"/>
        <v>0</v>
      </c>
      <c r="L2454" s="607"/>
      <c r="M2454" s="614"/>
      <c r="N2454" s="614"/>
      <c r="O2454" s="287">
        <f t="shared" si="494"/>
        <v>0</v>
      </c>
      <c r="P2454" s="287">
        <f t="shared" si="495"/>
        <v>0</v>
      </c>
      <c r="Q2454" s="288"/>
      <c r="R2454" s="315" t="str">
        <f>IF(P2453&gt;0,"xy","")</f>
        <v/>
      </c>
      <c r="S2454" s="385" t="str">
        <f t="shared" si="491"/>
        <v/>
      </c>
    </row>
    <row r="2455" spans="2:19" ht="13.5" hidden="1" thickBot="1">
      <c r="B2455" s="609" t="s">
        <v>168</v>
      </c>
      <c r="C2455" s="610"/>
      <c r="D2455" s="611" t="s">
        <v>256</v>
      </c>
      <c r="E2455" s="602"/>
      <c r="F2455" s="603">
        <v>180</v>
      </c>
      <c r="G2455" s="604">
        <f>VLOOKUP(D2453,'ENSAIOS DE ORÇAMENTO'!$C$3:$L$79,5,FALSE)</f>
        <v>2.3575999999999997</v>
      </c>
      <c r="H2455" s="605">
        <f>IF(F2455=0,0,IF(F2455&lt;=30,(0.7*F2455+1.45)*G2455,((0.7*30+1.45)+0.58*(F2455-30))*G2455))</f>
        <v>258.03931999999998</v>
      </c>
      <c r="I2455" s="675"/>
      <c r="J2455" s="675"/>
      <c r="K2455" s="606">
        <f t="shared" si="493"/>
        <v>0</v>
      </c>
      <c r="L2455" s="607"/>
      <c r="M2455" s="614"/>
      <c r="N2455" s="614"/>
      <c r="O2455" s="287">
        <f t="shared" si="494"/>
        <v>0</v>
      </c>
      <c r="P2455" s="287">
        <f t="shared" si="495"/>
        <v>0</v>
      </c>
      <c r="Q2455" s="288"/>
      <c r="R2455" s="315" t="str">
        <f>IF(P2453&gt;0,"xy","")</f>
        <v/>
      </c>
      <c r="S2455" s="385" t="str">
        <f t="shared" si="491"/>
        <v/>
      </c>
    </row>
    <row r="2456" spans="2:19" ht="13.5" hidden="1" thickBot="1">
      <c r="B2456" s="609" t="s">
        <v>168</v>
      </c>
      <c r="C2456" s="610"/>
      <c r="D2456" s="611" t="s">
        <v>260</v>
      </c>
      <c r="E2456" s="602"/>
      <c r="F2456" s="603">
        <v>20</v>
      </c>
      <c r="G2456" s="604">
        <f>VLOOKUP(D2453,'ENSAIOS DE ORÇAMENTO'!$C$3:$L$79,6,FALSE)</f>
        <v>2.8094099999999997</v>
      </c>
      <c r="H2456" s="605">
        <f>IF(F2456=0,0,IF(F2456&lt;=30,(0.7*F2456+1.45)*G2456,((0.7*30+1.45)+0.58*(F2456-30))*G2456))</f>
        <v>43.405384499999997</v>
      </c>
      <c r="I2456" s="675"/>
      <c r="J2456" s="675"/>
      <c r="K2456" s="606">
        <f t="shared" si="493"/>
        <v>0</v>
      </c>
      <c r="L2456" s="607"/>
      <c r="M2456" s="614"/>
      <c r="N2456" s="614"/>
      <c r="O2456" s="287">
        <f t="shared" si="494"/>
        <v>0</v>
      </c>
      <c r="P2456" s="287">
        <f t="shared" si="495"/>
        <v>0</v>
      </c>
      <c r="Q2456" s="288"/>
      <c r="R2456" s="243" t="str">
        <f>IF(P2453&gt;0,"xy","")</f>
        <v/>
      </c>
      <c r="S2456" s="385" t="str">
        <f t="shared" si="491"/>
        <v/>
      </c>
    </row>
    <row r="2457" spans="2:19" ht="13.5" hidden="1" thickBot="1">
      <c r="B2457" s="609" t="s">
        <v>168</v>
      </c>
      <c r="C2457" s="610"/>
      <c r="D2457" s="611" t="s">
        <v>417</v>
      </c>
      <c r="E2457" s="602"/>
      <c r="F2457" s="603">
        <v>30</v>
      </c>
      <c r="G2457" s="604">
        <f>VLOOKUP(D2453,'ENSAIOS DE ORÇAMENTO'!$C$3:$L$79,3,FALSE)</f>
        <v>0</v>
      </c>
      <c r="H2457" s="605">
        <f>IF(F2457=0,0,IF(F2457&lt;=30,(0.7*F2457+1.45)*G2457,((0.7*30+1.45)+0.58*(F2457-30))*G2457))</f>
        <v>0</v>
      </c>
      <c r="I2457" s="675"/>
      <c r="J2457" s="675"/>
      <c r="K2457" s="606">
        <f t="shared" si="493"/>
        <v>0</v>
      </c>
      <c r="L2457" s="607"/>
      <c r="M2457" s="614"/>
      <c r="N2457" s="614"/>
      <c r="O2457" s="287">
        <f t="shared" si="494"/>
        <v>0</v>
      </c>
      <c r="P2457" s="287">
        <f t="shared" si="495"/>
        <v>0</v>
      </c>
      <c r="Q2457" s="288"/>
      <c r="R2457" s="315" t="str">
        <f>IF(P2453&gt;0,"xy","")</f>
        <v/>
      </c>
      <c r="S2457" s="385" t="str">
        <f t="shared" si="491"/>
        <v/>
      </c>
    </row>
    <row r="2458" spans="2:19" ht="13.5" hidden="1" thickBot="1">
      <c r="B2458" s="609" t="s">
        <v>168</v>
      </c>
      <c r="C2458" s="610"/>
      <c r="D2458" s="611" t="s">
        <v>418</v>
      </c>
      <c r="E2458" s="602"/>
      <c r="F2458" s="603">
        <v>500</v>
      </c>
      <c r="G2458" s="604">
        <f>VLOOKUP(D2453,'ENSAIOS DE ORÇAMENTO'!$C$3:$L$79,10,FALSE)</f>
        <v>0</v>
      </c>
      <c r="H2458" s="605">
        <f>IF(F2458=0,0,IF(F2458&lt;=30,(0.7*F2458+1.45)*G2458,((0.7*30+1.45)+0.58*(F2458-30))*G2458))</f>
        <v>0</v>
      </c>
      <c r="I2458" s="675"/>
      <c r="J2458" s="675"/>
      <c r="K2458" s="606">
        <f t="shared" si="493"/>
        <v>0</v>
      </c>
      <c r="L2458" s="607"/>
      <c r="M2458" s="614"/>
      <c r="N2458" s="614"/>
      <c r="O2458" s="287">
        <f t="shared" si="494"/>
        <v>0</v>
      </c>
      <c r="P2458" s="287">
        <f t="shared" si="495"/>
        <v>0</v>
      </c>
      <c r="Q2458" s="288"/>
      <c r="R2458" s="315" t="str">
        <f>IF(P2453&gt;0,"xy","")</f>
        <v/>
      </c>
      <c r="S2458" s="385" t="str">
        <f t="shared" si="491"/>
        <v/>
      </c>
    </row>
    <row r="2459" spans="2:19" ht="13.5" hidden="1" thickBot="1">
      <c r="B2459" s="609" t="s">
        <v>48</v>
      </c>
      <c r="C2459" s="610" t="s">
        <v>212</v>
      </c>
      <c r="D2459" s="611" t="s">
        <v>160</v>
      </c>
      <c r="E2459" s="602"/>
      <c r="F2459" s="603"/>
      <c r="G2459" s="604"/>
      <c r="H2459" s="605">
        <f>SUM(H2460:H2464)</f>
        <v>530.675269985</v>
      </c>
      <c r="I2459" s="675">
        <f>VLOOKUP(D2459,'ENSAIOS DE ORÇAMENTO'!$C$3:$L$79,8,FALSE)</f>
        <v>6242.2876447777762</v>
      </c>
      <c r="J2459" s="675">
        <f t="shared" ref="J2459" si="498">IF(ISBLANK(I2459),"",SUM(H2459:I2459))</f>
        <v>6772.9629147627766</v>
      </c>
      <c r="K2459" s="606">
        <f t="shared" si="493"/>
        <v>8218.99</v>
      </c>
      <c r="L2459" s="607" t="s">
        <v>21</v>
      </c>
      <c r="M2459" s="30"/>
      <c r="N2459" s="30"/>
      <c r="O2459" s="287">
        <f t="shared" si="494"/>
        <v>0</v>
      </c>
      <c r="P2459" s="287">
        <f t="shared" si="495"/>
        <v>0</v>
      </c>
      <c r="Q2459" s="288"/>
      <c r="S2459" s="385" t="str">
        <f t="shared" si="491"/>
        <v/>
      </c>
    </row>
    <row r="2460" spans="2:19" ht="13.5" hidden="1" thickBot="1">
      <c r="B2460" s="609" t="s">
        <v>168</v>
      </c>
      <c r="C2460" s="610"/>
      <c r="D2460" s="611" t="s">
        <v>218</v>
      </c>
      <c r="E2460" s="602"/>
      <c r="F2460" s="603">
        <v>500</v>
      </c>
      <c r="G2460" s="604">
        <f>VLOOKUP(D2459,'ENSAIOS DE ORÇAMENTO'!$C$3:$L$79,4,FALSE)</f>
        <v>0.89753699999999992</v>
      </c>
      <c r="H2460" s="605">
        <f>IF(F2460&lt;=30,(0.51*F2460+4.28)*G2460,((0.51*30+4.28)+0.42*(F2460-30))*G2460)</f>
        <v>194.74757826000001</v>
      </c>
      <c r="I2460" s="675"/>
      <c r="J2460" s="675"/>
      <c r="K2460" s="606">
        <f t="shared" si="493"/>
        <v>0</v>
      </c>
      <c r="L2460" s="607"/>
      <c r="M2460" s="614"/>
      <c r="N2460" s="614"/>
      <c r="O2460" s="287">
        <f t="shared" si="494"/>
        <v>0</v>
      </c>
      <c r="P2460" s="287">
        <f t="shared" si="495"/>
        <v>0</v>
      </c>
      <c r="Q2460" s="288"/>
      <c r="R2460" s="315" t="str">
        <f>IF(P2459&gt;0,"xy","")</f>
        <v/>
      </c>
      <c r="S2460" s="385" t="str">
        <f t="shared" si="491"/>
        <v/>
      </c>
    </row>
    <row r="2461" spans="2:19" ht="13.5" hidden="1" thickBot="1">
      <c r="B2461" s="609" t="s">
        <v>168</v>
      </c>
      <c r="C2461" s="610"/>
      <c r="D2461" s="611" t="s">
        <v>256</v>
      </c>
      <c r="E2461" s="602"/>
      <c r="F2461" s="603">
        <v>180</v>
      </c>
      <c r="G2461" s="604">
        <f>VLOOKUP(D2459,'ENSAIOS DE ORÇAMENTO'!$C$3:$L$79,5,FALSE)</f>
        <v>2.6274289999999998</v>
      </c>
      <c r="H2461" s="605">
        <f>IF(F2461=0,0,IF(F2461&lt;=30,(0.7*F2461+1.45)*G2461,((0.7*30+1.45)+0.58*(F2461-30))*G2461))</f>
        <v>287.57210405000001</v>
      </c>
      <c r="I2461" s="675"/>
      <c r="J2461" s="675"/>
      <c r="K2461" s="606">
        <f t="shared" si="493"/>
        <v>0</v>
      </c>
      <c r="L2461" s="607"/>
      <c r="M2461" s="614"/>
      <c r="N2461" s="614"/>
      <c r="O2461" s="287">
        <f t="shared" si="494"/>
        <v>0</v>
      </c>
      <c r="P2461" s="287">
        <f t="shared" si="495"/>
        <v>0</v>
      </c>
      <c r="Q2461" s="288"/>
      <c r="R2461" s="315" t="str">
        <f>IF(P2459&gt;0,"xy","")</f>
        <v/>
      </c>
      <c r="S2461" s="385" t="str">
        <f t="shared" si="491"/>
        <v/>
      </c>
    </row>
    <row r="2462" spans="2:19" ht="13.5" hidden="1" thickBot="1">
      <c r="B2462" s="609" t="s">
        <v>168</v>
      </c>
      <c r="C2462" s="610"/>
      <c r="D2462" s="611" t="s">
        <v>260</v>
      </c>
      <c r="E2462" s="602"/>
      <c r="F2462" s="603">
        <v>20</v>
      </c>
      <c r="G2462" s="604">
        <f>VLOOKUP(D2459,'ENSAIOS DE ORÇAMENTO'!$C$3:$L$79,6,FALSE)</f>
        <v>3.1298114999999997</v>
      </c>
      <c r="H2462" s="605">
        <f>IF(F2462=0,0,IF(F2462&lt;=30,(0.7*F2462+1.45)*G2462,((0.7*30+1.45)+0.58*(F2462-30))*G2462))</f>
        <v>48.355587674999995</v>
      </c>
      <c r="I2462" s="675"/>
      <c r="J2462" s="675"/>
      <c r="K2462" s="606">
        <f t="shared" si="493"/>
        <v>0</v>
      </c>
      <c r="L2462" s="607"/>
      <c r="M2462" s="614"/>
      <c r="N2462" s="614"/>
      <c r="O2462" s="287">
        <f t="shared" si="494"/>
        <v>0</v>
      </c>
      <c r="P2462" s="287">
        <f t="shared" si="495"/>
        <v>0</v>
      </c>
      <c r="Q2462" s="288"/>
      <c r="R2462" s="243" t="str">
        <f>IF(P2459&gt;0,"xy","")</f>
        <v/>
      </c>
      <c r="S2462" s="385" t="str">
        <f t="shared" si="491"/>
        <v/>
      </c>
    </row>
    <row r="2463" spans="2:19" ht="13.5" hidden="1" thickBot="1">
      <c r="B2463" s="609" t="s">
        <v>168</v>
      </c>
      <c r="C2463" s="610"/>
      <c r="D2463" s="611" t="s">
        <v>417</v>
      </c>
      <c r="E2463" s="602"/>
      <c r="F2463" s="603">
        <v>30</v>
      </c>
      <c r="G2463" s="604">
        <f>VLOOKUP(D2459,'ENSAIOS DE ORÇAMENTO'!$C$3:$L$79,3,FALSE)</f>
        <v>0</v>
      </c>
      <c r="H2463" s="605">
        <f>IF(F2463=0,0,IF(F2463&lt;=30,(0.7*F2463+1.45)*G2463,((0.7*30+1.45)+0.58*(F2463-30))*G2463))</f>
        <v>0</v>
      </c>
      <c r="I2463" s="675"/>
      <c r="J2463" s="675"/>
      <c r="K2463" s="606">
        <f t="shared" si="493"/>
        <v>0</v>
      </c>
      <c r="L2463" s="607"/>
      <c r="M2463" s="614"/>
      <c r="N2463" s="614"/>
      <c r="O2463" s="287">
        <f t="shared" si="494"/>
        <v>0</v>
      </c>
      <c r="P2463" s="287">
        <f t="shared" si="495"/>
        <v>0</v>
      </c>
      <c r="Q2463" s="288"/>
      <c r="R2463" s="315" t="str">
        <f>IF(P2459&gt;0,"xy","")</f>
        <v/>
      </c>
      <c r="S2463" s="385" t="str">
        <f t="shared" si="491"/>
        <v/>
      </c>
    </row>
    <row r="2464" spans="2:19" ht="13.5" hidden="1" thickBot="1">
      <c r="B2464" s="609" t="s">
        <v>168</v>
      </c>
      <c r="C2464" s="610"/>
      <c r="D2464" s="611" t="s">
        <v>418</v>
      </c>
      <c r="E2464" s="602"/>
      <c r="F2464" s="603">
        <v>500</v>
      </c>
      <c r="G2464" s="604">
        <f>VLOOKUP(D2459,'ENSAIOS DE ORÇAMENTO'!$C$3:$L$79,10,FALSE)</f>
        <v>0</v>
      </c>
      <c r="H2464" s="605">
        <f>IF(F2464=0,0,IF(F2464&lt;=30,(0.7*F2464+1.45)*G2464,((0.7*30+1.45)+0.58*(F2464-30))*G2464))</f>
        <v>0</v>
      </c>
      <c r="I2464" s="675"/>
      <c r="J2464" s="675"/>
      <c r="K2464" s="606">
        <f t="shared" si="493"/>
        <v>0</v>
      </c>
      <c r="L2464" s="607"/>
      <c r="M2464" s="614"/>
      <c r="N2464" s="614"/>
      <c r="O2464" s="287">
        <f t="shared" si="494"/>
        <v>0</v>
      </c>
      <c r="P2464" s="287">
        <f t="shared" si="495"/>
        <v>0</v>
      </c>
      <c r="Q2464" s="288"/>
      <c r="R2464" s="315" t="str">
        <f>IF(P2459&gt;0,"xy","")</f>
        <v/>
      </c>
      <c r="S2464" s="385" t="str">
        <f t="shared" si="491"/>
        <v/>
      </c>
    </row>
    <row r="2465" spans="2:19" ht="13.5" hidden="1" thickBot="1">
      <c r="B2465" s="609" t="s">
        <v>49</v>
      </c>
      <c r="C2465" s="610" t="s">
        <v>212</v>
      </c>
      <c r="D2465" s="611" t="s">
        <v>161</v>
      </c>
      <c r="E2465" s="602"/>
      <c r="F2465" s="603"/>
      <c r="G2465" s="604"/>
      <c r="H2465" s="605">
        <f>SUM(H2466:H2470)</f>
        <v>659.56121148274997</v>
      </c>
      <c r="I2465" s="675">
        <f>VLOOKUP(D2465,'ENSAIOS DE ORÇAMENTO'!$C$3:$L$79,8,FALSE)</f>
        <v>7594.3781092722211</v>
      </c>
      <c r="J2465" s="675">
        <f t="shared" ref="J2465" si="499">IF(ISBLANK(I2465),"",SUM(H2465:I2465))</f>
        <v>8253.939320754971</v>
      </c>
      <c r="K2465" s="606">
        <f t="shared" si="493"/>
        <v>10016.16</v>
      </c>
      <c r="L2465" s="607" t="s">
        <v>21</v>
      </c>
      <c r="M2465" s="30"/>
      <c r="N2465" s="30"/>
      <c r="O2465" s="287">
        <f t="shared" si="494"/>
        <v>0</v>
      </c>
      <c r="P2465" s="287">
        <f t="shared" si="495"/>
        <v>0</v>
      </c>
      <c r="Q2465" s="288"/>
      <c r="S2465" s="385" t="str">
        <f t="shared" si="491"/>
        <v/>
      </c>
    </row>
    <row r="2466" spans="2:19" ht="13.5" hidden="1" thickBot="1">
      <c r="B2466" s="609" t="s">
        <v>168</v>
      </c>
      <c r="C2466" s="610"/>
      <c r="D2466" s="611" t="s">
        <v>218</v>
      </c>
      <c r="E2466" s="602"/>
      <c r="F2466" s="603">
        <v>500</v>
      </c>
      <c r="G2466" s="604">
        <f>VLOOKUP(D2465,'ENSAIOS DE ORÇAMENTO'!$C$3:$L$79,4,FALSE)</f>
        <v>1.1179675499999999</v>
      </c>
      <c r="H2466" s="605">
        <f>IF(F2466&lt;=30,(0.51*F2466+4.28)*G2466,((0.51*30+4.28)+0.42*(F2466-30))*G2466)</f>
        <v>242.576598999</v>
      </c>
      <c r="I2466" s="675"/>
      <c r="J2466" s="675"/>
      <c r="K2466" s="606">
        <f t="shared" si="493"/>
        <v>0</v>
      </c>
      <c r="L2466" s="607"/>
      <c r="M2466" s="614"/>
      <c r="N2466" s="614"/>
      <c r="O2466" s="287">
        <f t="shared" si="494"/>
        <v>0</v>
      </c>
      <c r="P2466" s="287">
        <f t="shared" si="495"/>
        <v>0</v>
      </c>
      <c r="Q2466" s="288"/>
      <c r="R2466" s="315" t="str">
        <f>IF(P2465&gt;0,"xy","")</f>
        <v/>
      </c>
      <c r="S2466" s="385" t="str">
        <f t="shared" si="491"/>
        <v/>
      </c>
    </row>
    <row r="2467" spans="2:19" ht="13.5" hidden="1" thickBot="1">
      <c r="B2467" s="609" t="s">
        <v>168</v>
      </c>
      <c r="C2467" s="610"/>
      <c r="D2467" s="611" t="s">
        <v>256</v>
      </c>
      <c r="E2467" s="602"/>
      <c r="F2467" s="603">
        <v>180</v>
      </c>
      <c r="G2467" s="604">
        <f>VLOOKUP(D2465,'ENSAIOS DE ORÇAMENTO'!$C$3:$L$79,5,FALSE)</f>
        <v>3.2610033499999997</v>
      </c>
      <c r="H2467" s="605">
        <f>IF(F2467=0,0,IF(F2467&lt;=30,(0.7*F2467+1.45)*G2467,((0.7*30+1.45)+0.58*(F2467-30))*G2467))</f>
        <v>356.91681665749996</v>
      </c>
      <c r="I2467" s="675"/>
      <c r="J2467" s="675"/>
      <c r="K2467" s="606">
        <f t="shared" si="493"/>
        <v>0</v>
      </c>
      <c r="L2467" s="607"/>
      <c r="M2467" s="614"/>
      <c r="N2467" s="614"/>
      <c r="O2467" s="287">
        <f t="shared" si="494"/>
        <v>0</v>
      </c>
      <c r="P2467" s="287">
        <f t="shared" si="495"/>
        <v>0</v>
      </c>
      <c r="Q2467" s="288"/>
      <c r="R2467" s="315" t="str">
        <f>IF(P2465&gt;0,"xy","")</f>
        <v/>
      </c>
      <c r="S2467" s="385" t="str">
        <f t="shared" si="491"/>
        <v/>
      </c>
    </row>
    <row r="2468" spans="2:19" ht="13.5" hidden="1" thickBot="1">
      <c r="B2468" s="609" t="s">
        <v>168</v>
      </c>
      <c r="C2468" s="610"/>
      <c r="D2468" s="611" t="s">
        <v>260</v>
      </c>
      <c r="E2468" s="602"/>
      <c r="F2468" s="603">
        <v>20</v>
      </c>
      <c r="G2468" s="604">
        <f>VLOOKUP(D2465,'ENSAIOS DE ORÇAMENTO'!$C$3:$L$79,6,FALSE)</f>
        <v>3.8878832249999999</v>
      </c>
      <c r="H2468" s="605">
        <f>IF(F2468=0,0,IF(F2468&lt;=30,(0.7*F2468+1.45)*G2468,((0.7*30+1.45)+0.58*(F2468-30))*G2468))</f>
        <v>60.067795826249998</v>
      </c>
      <c r="I2468" s="675"/>
      <c r="J2468" s="675"/>
      <c r="K2468" s="606">
        <f t="shared" si="493"/>
        <v>0</v>
      </c>
      <c r="L2468" s="607"/>
      <c r="M2468" s="614"/>
      <c r="N2468" s="614"/>
      <c r="O2468" s="287">
        <f t="shared" si="494"/>
        <v>0</v>
      </c>
      <c r="P2468" s="287">
        <f t="shared" si="495"/>
        <v>0</v>
      </c>
      <c r="Q2468" s="288"/>
      <c r="R2468" s="243" t="str">
        <f>IF(P2465&gt;0,"xy","")</f>
        <v/>
      </c>
      <c r="S2468" s="385" t="str">
        <f t="shared" si="491"/>
        <v/>
      </c>
    </row>
    <row r="2469" spans="2:19" ht="13.5" hidden="1" thickBot="1">
      <c r="B2469" s="609" t="s">
        <v>168</v>
      </c>
      <c r="C2469" s="610"/>
      <c r="D2469" s="611" t="s">
        <v>417</v>
      </c>
      <c r="E2469" s="602"/>
      <c r="F2469" s="603">
        <v>30</v>
      </c>
      <c r="G2469" s="604">
        <f>VLOOKUP(D2465,'ENSAIOS DE ORÇAMENTO'!$C$3:$L$79,3,FALSE)</f>
        <v>0</v>
      </c>
      <c r="H2469" s="605">
        <f>IF(F2469=0,0,IF(F2469&lt;=30,(0.7*F2469+1.45)*G2469,((0.7*30+1.45)+0.58*(F2469-30))*G2469))</f>
        <v>0</v>
      </c>
      <c r="I2469" s="675"/>
      <c r="J2469" s="675"/>
      <c r="K2469" s="606">
        <f t="shared" si="493"/>
        <v>0</v>
      </c>
      <c r="L2469" s="607"/>
      <c r="M2469" s="614"/>
      <c r="N2469" s="614"/>
      <c r="O2469" s="287">
        <f t="shared" si="494"/>
        <v>0</v>
      </c>
      <c r="P2469" s="287">
        <f t="shared" si="495"/>
        <v>0</v>
      </c>
      <c r="Q2469" s="288"/>
      <c r="R2469" s="315" t="str">
        <f>IF(P2465&gt;0,"xy","")</f>
        <v/>
      </c>
      <c r="S2469" s="385" t="str">
        <f t="shared" si="491"/>
        <v/>
      </c>
    </row>
    <row r="2470" spans="2:19" ht="13.5" hidden="1" thickBot="1">
      <c r="B2470" s="609" t="s">
        <v>168</v>
      </c>
      <c r="C2470" s="610"/>
      <c r="D2470" s="611" t="s">
        <v>418</v>
      </c>
      <c r="E2470" s="602"/>
      <c r="F2470" s="603">
        <v>500</v>
      </c>
      <c r="G2470" s="604">
        <f>VLOOKUP(D2465,'ENSAIOS DE ORÇAMENTO'!$C$3:$L$79,10,FALSE)</f>
        <v>0</v>
      </c>
      <c r="H2470" s="605">
        <f>IF(F2470=0,0,IF(F2470&lt;=30,(0.7*F2470+1.45)*G2470,((0.7*30+1.45)+0.58*(F2470-30))*G2470))</f>
        <v>0</v>
      </c>
      <c r="I2470" s="675"/>
      <c r="J2470" s="675"/>
      <c r="K2470" s="606">
        <f t="shared" si="493"/>
        <v>0</v>
      </c>
      <c r="L2470" s="607"/>
      <c r="M2470" s="614"/>
      <c r="N2470" s="614"/>
      <c r="O2470" s="287">
        <f t="shared" si="494"/>
        <v>0</v>
      </c>
      <c r="P2470" s="287">
        <f t="shared" si="495"/>
        <v>0</v>
      </c>
      <c r="Q2470" s="288"/>
      <c r="R2470" s="315" t="str">
        <f>IF(P2465&gt;0,"xy","")</f>
        <v/>
      </c>
      <c r="S2470" s="385" t="str">
        <f t="shared" si="491"/>
        <v/>
      </c>
    </row>
    <row r="2471" spans="2:19" ht="13.5" hidden="1" thickBot="1">
      <c r="B2471" s="609" t="s">
        <v>50</v>
      </c>
      <c r="C2471" s="610" t="s">
        <v>212</v>
      </c>
      <c r="D2471" s="611" t="s">
        <v>439</v>
      </c>
      <c r="E2471" s="602"/>
      <c r="F2471" s="603"/>
      <c r="G2471" s="604"/>
      <c r="H2471" s="605">
        <f>SUM(H2472:H2476)</f>
        <v>64.638715350000012</v>
      </c>
      <c r="I2471" s="675">
        <f>VLOOKUP(D2471,'ENSAIOS DE ORÇAMENTO'!$C$3:$L$79,8,FALSE)</f>
        <v>813.88541000000009</v>
      </c>
      <c r="J2471" s="675">
        <f t="shared" ref="J2471" si="500">IF(ISBLANK(I2471),"",SUM(H2471:I2471))</f>
        <v>878.52412535000008</v>
      </c>
      <c r="K2471" s="606">
        <f t="shared" si="493"/>
        <v>1066.0899999999999</v>
      </c>
      <c r="L2471" s="607" t="s">
        <v>21</v>
      </c>
      <c r="M2471" s="30"/>
      <c r="N2471" s="30"/>
      <c r="O2471" s="287">
        <f t="shared" si="494"/>
        <v>0</v>
      </c>
      <c r="P2471" s="287">
        <f t="shared" si="495"/>
        <v>0</v>
      </c>
      <c r="Q2471" s="288"/>
      <c r="S2471" s="385" t="str">
        <f t="shared" si="491"/>
        <v/>
      </c>
    </row>
    <row r="2472" spans="2:19" ht="13.5" hidden="1" thickBot="1">
      <c r="B2472" s="609" t="s">
        <v>168</v>
      </c>
      <c r="C2472" s="610"/>
      <c r="D2472" s="611" t="s">
        <v>218</v>
      </c>
      <c r="E2472" s="602"/>
      <c r="F2472" s="603">
        <v>500</v>
      </c>
      <c r="G2472" s="604">
        <f>VLOOKUP(D2471,'ENSAIOS DE ORÇAMENTO'!$C$3:$L$79,4,FALSE)</f>
        <v>0.11253000000000002</v>
      </c>
      <c r="H2472" s="605">
        <f>IF(F2472&lt;=30,(0.51*F2472+4.28)*G2472,((0.51*30+4.28)+0.42*(F2472-30))*G2472)</f>
        <v>24.416759400000007</v>
      </c>
      <c r="I2472" s="675"/>
      <c r="J2472" s="675"/>
      <c r="K2472" s="606">
        <f t="shared" si="493"/>
        <v>0</v>
      </c>
      <c r="L2472" s="607"/>
      <c r="M2472" s="614"/>
      <c r="N2472" s="614"/>
      <c r="O2472" s="287">
        <f t="shared" si="494"/>
        <v>0</v>
      </c>
      <c r="P2472" s="287">
        <f t="shared" si="495"/>
        <v>0</v>
      </c>
      <c r="Q2472" s="288"/>
      <c r="R2472" s="315" t="str">
        <f>IF(P2471&gt;0,"xy","")</f>
        <v/>
      </c>
      <c r="S2472" s="385" t="str">
        <f t="shared" si="491"/>
        <v/>
      </c>
    </row>
    <row r="2473" spans="2:19" ht="13.5" hidden="1" thickBot="1">
      <c r="B2473" s="609" t="s">
        <v>168</v>
      </c>
      <c r="C2473" s="610"/>
      <c r="D2473" s="611" t="s">
        <v>256</v>
      </c>
      <c r="E2473" s="602"/>
      <c r="F2473" s="603">
        <v>180</v>
      </c>
      <c r="G2473" s="604">
        <f>VLOOKUP(D2471,'ENSAIOS DE ORÇAMENTO'!$C$3:$L$79,5,FALSE)</f>
        <v>0.31406100000000003</v>
      </c>
      <c r="H2473" s="605">
        <f>IF(F2473=0,0,IF(F2473&lt;=30,(0.7*F2473+1.45)*G2473,((0.7*30+1.45)+0.58*(F2473-30))*G2473))</f>
        <v>34.373976450000008</v>
      </c>
      <c r="I2473" s="675"/>
      <c r="J2473" s="675"/>
      <c r="K2473" s="606">
        <f t="shared" si="493"/>
        <v>0</v>
      </c>
      <c r="L2473" s="607"/>
      <c r="M2473" s="614"/>
      <c r="N2473" s="614"/>
      <c r="O2473" s="287">
        <f t="shared" si="494"/>
        <v>0</v>
      </c>
      <c r="P2473" s="287">
        <f t="shared" si="495"/>
        <v>0</v>
      </c>
      <c r="Q2473" s="288"/>
      <c r="R2473" s="315" t="str">
        <f>IF(P2471&gt;0,"xy","")</f>
        <v/>
      </c>
      <c r="S2473" s="385" t="str">
        <f t="shared" si="491"/>
        <v/>
      </c>
    </row>
    <row r="2474" spans="2:19" ht="13.5" hidden="1" thickBot="1">
      <c r="B2474" s="609" t="s">
        <v>168</v>
      </c>
      <c r="C2474" s="610"/>
      <c r="D2474" s="611" t="s">
        <v>260</v>
      </c>
      <c r="E2474" s="602"/>
      <c r="F2474" s="603">
        <v>20</v>
      </c>
      <c r="G2474" s="604">
        <f>VLOOKUP(D2471,'ENSAIOS DE ORÇAMENTO'!$C$3:$L$79,6,FALSE)</f>
        <v>0.37851000000000007</v>
      </c>
      <c r="H2474" s="605">
        <f>IF(F2474=0,0,IF(F2474&lt;=30,(0.7*F2474+1.45)*G2474,((0.7*30+1.45)+0.58*(F2474-30))*G2474))</f>
        <v>5.847979500000001</v>
      </c>
      <c r="I2474" s="675"/>
      <c r="J2474" s="675"/>
      <c r="K2474" s="606">
        <f t="shared" si="493"/>
        <v>0</v>
      </c>
      <c r="L2474" s="607"/>
      <c r="M2474" s="614"/>
      <c r="N2474" s="614"/>
      <c r="O2474" s="287">
        <f t="shared" si="494"/>
        <v>0</v>
      </c>
      <c r="P2474" s="287">
        <f t="shared" si="495"/>
        <v>0</v>
      </c>
      <c r="Q2474" s="288"/>
      <c r="R2474" s="243" t="str">
        <f>IF(P2471&gt;0,"xy","")</f>
        <v/>
      </c>
      <c r="S2474" s="385" t="str">
        <f t="shared" si="491"/>
        <v/>
      </c>
    </row>
    <row r="2475" spans="2:19" ht="13.5" hidden="1" thickBot="1">
      <c r="B2475" s="609" t="s">
        <v>168</v>
      </c>
      <c r="C2475" s="610"/>
      <c r="D2475" s="611" t="s">
        <v>417</v>
      </c>
      <c r="E2475" s="602"/>
      <c r="F2475" s="603">
        <v>30</v>
      </c>
      <c r="G2475" s="604">
        <f>VLOOKUP(D2471,'ENSAIOS DE ORÇAMENTO'!$C$3:$L$79,3,FALSE)</f>
        <v>0</v>
      </c>
      <c r="H2475" s="605">
        <f>IF(F2475=0,0,IF(F2475&lt;=30,(0.7*F2475+1.45)*G2475,((0.7*30+1.45)+0.58*(F2475-30))*G2475))</f>
        <v>0</v>
      </c>
      <c r="I2475" s="675"/>
      <c r="J2475" s="675"/>
      <c r="K2475" s="606">
        <f t="shared" si="493"/>
        <v>0</v>
      </c>
      <c r="L2475" s="607"/>
      <c r="M2475" s="614"/>
      <c r="N2475" s="614"/>
      <c r="O2475" s="287">
        <f t="shared" si="494"/>
        <v>0</v>
      </c>
      <c r="P2475" s="287">
        <f t="shared" si="495"/>
        <v>0</v>
      </c>
      <c r="Q2475" s="288"/>
      <c r="R2475" s="315" t="str">
        <f>IF(P2471&gt;0,"xy","")</f>
        <v/>
      </c>
      <c r="S2475" s="385" t="str">
        <f t="shared" si="491"/>
        <v/>
      </c>
    </row>
    <row r="2476" spans="2:19" ht="13.5" hidden="1" thickBot="1">
      <c r="B2476" s="609" t="s">
        <v>168</v>
      </c>
      <c r="C2476" s="610"/>
      <c r="D2476" s="611" t="s">
        <v>418</v>
      </c>
      <c r="E2476" s="602"/>
      <c r="F2476" s="603">
        <v>500</v>
      </c>
      <c r="G2476" s="604">
        <f>VLOOKUP(D2471,'ENSAIOS DE ORÇAMENTO'!$C$3:$L$79,10,FALSE)</f>
        <v>0</v>
      </c>
      <c r="H2476" s="605">
        <f>IF(F2476=0,0,IF(F2476&lt;=30,(0.7*F2476+1.45)*G2476,((0.7*30+1.45)+0.58*(F2476-30))*G2476))</f>
        <v>0</v>
      </c>
      <c r="I2476" s="675"/>
      <c r="J2476" s="675"/>
      <c r="K2476" s="606">
        <f t="shared" si="493"/>
        <v>0</v>
      </c>
      <c r="L2476" s="607"/>
      <c r="M2476" s="614"/>
      <c r="N2476" s="614"/>
      <c r="O2476" s="287">
        <f t="shared" si="494"/>
        <v>0</v>
      </c>
      <c r="P2476" s="287">
        <f t="shared" si="495"/>
        <v>0</v>
      </c>
      <c r="Q2476" s="288"/>
      <c r="R2476" s="315" t="str">
        <f>IF(P2471&gt;0,"xy","")</f>
        <v/>
      </c>
      <c r="S2476" s="385" t="str">
        <f t="shared" si="491"/>
        <v/>
      </c>
    </row>
    <row r="2477" spans="2:19" ht="13.5" hidden="1" thickBot="1">
      <c r="B2477" s="609" t="s">
        <v>51</v>
      </c>
      <c r="C2477" s="610" t="s">
        <v>212</v>
      </c>
      <c r="D2477" s="611" t="s">
        <v>440</v>
      </c>
      <c r="E2477" s="602"/>
      <c r="F2477" s="603"/>
      <c r="G2477" s="604"/>
      <c r="H2477" s="605">
        <f>SUM(H2478:H2482)</f>
        <v>70.325405850000024</v>
      </c>
      <c r="I2477" s="675">
        <f>VLOOKUP(D2477,'ENSAIOS DE ORÇAMENTO'!$C$3:$L$79,8,FALSE)</f>
        <v>912.06511</v>
      </c>
      <c r="J2477" s="675">
        <f t="shared" ref="J2477" si="501">IF(ISBLANK(I2477),"",SUM(H2477:I2477))</f>
        <v>982.39051585000004</v>
      </c>
      <c r="K2477" s="606">
        <f t="shared" si="493"/>
        <v>1192.1300000000001</v>
      </c>
      <c r="L2477" s="607" t="s">
        <v>21</v>
      </c>
      <c r="M2477" s="30"/>
      <c r="N2477" s="30"/>
      <c r="O2477" s="287">
        <f t="shared" si="494"/>
        <v>0</v>
      </c>
      <c r="P2477" s="287">
        <f t="shared" si="495"/>
        <v>0</v>
      </c>
      <c r="Q2477" s="288"/>
      <c r="S2477" s="385" t="str">
        <f t="shared" si="491"/>
        <v/>
      </c>
    </row>
    <row r="2478" spans="2:19" ht="13.5" hidden="1" thickBot="1">
      <c r="B2478" s="609" t="s">
        <v>168</v>
      </c>
      <c r="C2478" s="610"/>
      <c r="D2478" s="611" t="s">
        <v>218</v>
      </c>
      <c r="E2478" s="602"/>
      <c r="F2478" s="603">
        <v>500</v>
      </c>
      <c r="G2478" s="604">
        <f>VLOOKUP(D2477,'ENSAIOS DE ORÇAMENTO'!$C$3:$L$79,4,FALSE)</f>
        <v>0.12243000000000002</v>
      </c>
      <c r="H2478" s="605">
        <f>IF(F2478&lt;=30,(0.51*F2478+4.28)*G2478,((0.51*30+4.28)+0.42*(F2478-30))*G2478)</f>
        <v>26.564861400000009</v>
      </c>
      <c r="I2478" s="675"/>
      <c r="J2478" s="675"/>
      <c r="K2478" s="606">
        <f t="shared" si="493"/>
        <v>0</v>
      </c>
      <c r="L2478" s="607"/>
      <c r="M2478" s="614"/>
      <c r="N2478" s="614"/>
      <c r="O2478" s="287">
        <f t="shared" si="494"/>
        <v>0</v>
      </c>
      <c r="P2478" s="287">
        <f t="shared" si="495"/>
        <v>0</v>
      </c>
      <c r="Q2478" s="288"/>
      <c r="R2478" s="315" t="str">
        <f>IF(P2477&gt;0,"xy","")</f>
        <v/>
      </c>
      <c r="S2478" s="385" t="str">
        <f t="shared" si="491"/>
        <v/>
      </c>
    </row>
    <row r="2479" spans="2:19" ht="13.5" hidden="1" thickBot="1">
      <c r="B2479" s="609" t="s">
        <v>168</v>
      </c>
      <c r="C2479" s="610"/>
      <c r="D2479" s="611" t="s">
        <v>256</v>
      </c>
      <c r="E2479" s="602"/>
      <c r="F2479" s="603">
        <v>180</v>
      </c>
      <c r="G2479" s="604">
        <f>VLOOKUP(D2477,'ENSAIOS DE ORÇAMENTO'!$C$3:$L$79,5,FALSE)</f>
        <v>0.34169100000000008</v>
      </c>
      <c r="H2479" s="605">
        <f>IF(F2479=0,0,IF(F2479&lt;=30,(0.7*F2479+1.45)*G2479,((0.7*30+1.45)+0.58*(F2479-30))*G2479))</f>
        <v>37.39807995000001</v>
      </c>
      <c r="I2479" s="675"/>
      <c r="J2479" s="675"/>
      <c r="K2479" s="606">
        <f t="shared" si="493"/>
        <v>0</v>
      </c>
      <c r="L2479" s="607"/>
      <c r="M2479" s="614"/>
      <c r="N2479" s="614"/>
      <c r="O2479" s="287">
        <f t="shared" si="494"/>
        <v>0</v>
      </c>
      <c r="P2479" s="287">
        <f t="shared" si="495"/>
        <v>0</v>
      </c>
      <c r="Q2479" s="288"/>
      <c r="R2479" s="315" t="str">
        <f>IF(P2477&gt;0,"xy","")</f>
        <v/>
      </c>
      <c r="S2479" s="385" t="str">
        <f t="shared" si="491"/>
        <v/>
      </c>
    </row>
    <row r="2480" spans="2:19" ht="13.5" hidden="1" thickBot="1">
      <c r="B2480" s="609" t="s">
        <v>168</v>
      </c>
      <c r="C2480" s="610"/>
      <c r="D2480" s="611" t="s">
        <v>260</v>
      </c>
      <c r="E2480" s="602"/>
      <c r="F2480" s="603">
        <v>20</v>
      </c>
      <c r="G2480" s="604">
        <f>VLOOKUP(D2477,'ENSAIOS DE ORÇAMENTO'!$C$3:$L$79,6,FALSE)</f>
        <v>0.41181000000000012</v>
      </c>
      <c r="H2480" s="605">
        <f>IF(F2480=0,0,IF(F2480&lt;=30,(0.7*F2480+1.45)*G2480,((0.7*30+1.45)+0.58*(F2480-30))*G2480))</f>
        <v>6.3624645000000015</v>
      </c>
      <c r="I2480" s="675"/>
      <c r="J2480" s="675"/>
      <c r="K2480" s="606">
        <f t="shared" si="493"/>
        <v>0</v>
      </c>
      <c r="L2480" s="607"/>
      <c r="M2480" s="614"/>
      <c r="N2480" s="614"/>
      <c r="O2480" s="287">
        <f t="shared" si="494"/>
        <v>0</v>
      </c>
      <c r="P2480" s="287">
        <f t="shared" si="495"/>
        <v>0</v>
      </c>
      <c r="Q2480" s="288"/>
      <c r="R2480" s="243" t="str">
        <f>IF(P2477&gt;0,"xy","")</f>
        <v/>
      </c>
      <c r="S2480" s="385" t="str">
        <f t="shared" si="491"/>
        <v/>
      </c>
    </row>
    <row r="2481" spans="2:19" ht="13.5" hidden="1" thickBot="1">
      <c r="B2481" s="609" t="s">
        <v>168</v>
      </c>
      <c r="C2481" s="610"/>
      <c r="D2481" s="611" t="s">
        <v>417</v>
      </c>
      <c r="E2481" s="602"/>
      <c r="F2481" s="603">
        <v>30</v>
      </c>
      <c r="G2481" s="604">
        <f>VLOOKUP(D2477,'ENSAIOS DE ORÇAMENTO'!$C$3:$L$79,3,FALSE)</f>
        <v>0</v>
      </c>
      <c r="H2481" s="605">
        <f>IF(F2481=0,0,IF(F2481&lt;=30,(0.7*F2481+1.45)*G2481,((0.7*30+1.45)+0.58*(F2481-30))*G2481))</f>
        <v>0</v>
      </c>
      <c r="I2481" s="675"/>
      <c r="J2481" s="675"/>
      <c r="K2481" s="606">
        <f t="shared" si="493"/>
        <v>0</v>
      </c>
      <c r="L2481" s="607"/>
      <c r="M2481" s="614"/>
      <c r="N2481" s="614"/>
      <c r="O2481" s="287">
        <f t="shared" si="494"/>
        <v>0</v>
      </c>
      <c r="P2481" s="287">
        <f t="shared" si="495"/>
        <v>0</v>
      </c>
      <c r="Q2481" s="288"/>
      <c r="R2481" s="315" t="str">
        <f>IF(P2477&gt;0,"xy","")</f>
        <v/>
      </c>
      <c r="S2481" s="385" t="str">
        <f t="shared" si="491"/>
        <v/>
      </c>
    </row>
    <row r="2482" spans="2:19" ht="13.5" hidden="1" thickBot="1">
      <c r="B2482" s="609" t="s">
        <v>168</v>
      </c>
      <c r="C2482" s="610"/>
      <c r="D2482" s="611" t="s">
        <v>418</v>
      </c>
      <c r="E2482" s="602"/>
      <c r="F2482" s="603">
        <v>500</v>
      </c>
      <c r="G2482" s="604">
        <f>VLOOKUP(D2477,'ENSAIOS DE ORÇAMENTO'!$C$3:$L$79,10,FALSE)</f>
        <v>0</v>
      </c>
      <c r="H2482" s="605">
        <f>IF(F2482=0,0,IF(F2482&lt;=30,(0.7*F2482+1.45)*G2482,((0.7*30+1.45)+0.58*(F2482-30))*G2482))</f>
        <v>0</v>
      </c>
      <c r="I2482" s="675"/>
      <c r="J2482" s="675"/>
      <c r="K2482" s="606">
        <f t="shared" si="493"/>
        <v>0</v>
      </c>
      <c r="L2482" s="607"/>
      <c r="M2482" s="614"/>
      <c r="N2482" s="614"/>
      <c r="O2482" s="287">
        <f t="shared" si="494"/>
        <v>0</v>
      </c>
      <c r="P2482" s="287">
        <f t="shared" si="495"/>
        <v>0</v>
      </c>
      <c r="Q2482" s="288"/>
      <c r="R2482" s="315" t="str">
        <f>IF(P2477&gt;0,"xy","")</f>
        <v/>
      </c>
      <c r="S2482" s="385" t="str">
        <f t="shared" si="491"/>
        <v/>
      </c>
    </row>
    <row r="2483" spans="2:19" ht="13.5" hidden="1" thickBot="1">
      <c r="B2483" s="609" t="s">
        <v>52</v>
      </c>
      <c r="C2483" s="610" t="s">
        <v>212</v>
      </c>
      <c r="D2483" s="611" t="s">
        <v>441</v>
      </c>
      <c r="E2483" s="602"/>
      <c r="F2483" s="603"/>
      <c r="G2483" s="604"/>
      <c r="H2483" s="605">
        <f>SUM(H2484:H2488)</f>
        <v>76.012096350000007</v>
      </c>
      <c r="I2483" s="675">
        <f>VLOOKUP(D2483,'ENSAIOS DE ORÇAMENTO'!$C$3:$L$79,8,FALSE)</f>
        <v>1028.23101</v>
      </c>
      <c r="J2483" s="675">
        <f t="shared" ref="J2483" si="502">IF(ISBLANK(I2483),"",SUM(H2483:I2483))</f>
        <v>1104.2431063500001</v>
      </c>
      <c r="K2483" s="606">
        <f t="shared" si="493"/>
        <v>1340</v>
      </c>
      <c r="L2483" s="607" t="s">
        <v>21</v>
      </c>
      <c r="M2483" s="30"/>
      <c r="N2483" s="30"/>
      <c r="O2483" s="287">
        <f t="shared" si="494"/>
        <v>0</v>
      </c>
      <c r="P2483" s="287">
        <f t="shared" si="495"/>
        <v>0</v>
      </c>
      <c r="Q2483" s="288"/>
      <c r="S2483" s="385" t="str">
        <f t="shared" si="491"/>
        <v/>
      </c>
    </row>
    <row r="2484" spans="2:19" ht="13.5" hidden="1" thickBot="1">
      <c r="B2484" s="609" t="s">
        <v>168</v>
      </c>
      <c r="C2484" s="610"/>
      <c r="D2484" s="611" t="s">
        <v>218</v>
      </c>
      <c r="E2484" s="602"/>
      <c r="F2484" s="603">
        <v>500</v>
      </c>
      <c r="G2484" s="604">
        <f>VLOOKUP(D2483,'ENSAIOS DE ORÇAMENTO'!$C$3:$L$79,4,FALSE)</f>
        <v>0.13233</v>
      </c>
      <c r="H2484" s="605">
        <f>IF(F2484&lt;=30,(0.51*F2484+4.28)*G2484,((0.51*30+4.28)+0.42*(F2484-30))*G2484)</f>
        <v>28.712963400000003</v>
      </c>
      <c r="I2484" s="675"/>
      <c r="J2484" s="675"/>
      <c r="K2484" s="606">
        <f t="shared" si="493"/>
        <v>0</v>
      </c>
      <c r="L2484" s="607"/>
      <c r="M2484" s="614"/>
      <c r="N2484" s="614"/>
      <c r="O2484" s="287">
        <f t="shared" si="494"/>
        <v>0</v>
      </c>
      <c r="P2484" s="287">
        <f t="shared" si="495"/>
        <v>0</v>
      </c>
      <c r="Q2484" s="288"/>
      <c r="R2484" s="315" t="str">
        <f>IF(P2483&gt;0,"xy","")</f>
        <v/>
      </c>
      <c r="S2484" s="385" t="str">
        <f t="shared" si="491"/>
        <v/>
      </c>
    </row>
    <row r="2485" spans="2:19" ht="13.5" hidden="1" thickBot="1">
      <c r="B2485" s="609" t="s">
        <v>168</v>
      </c>
      <c r="C2485" s="610"/>
      <c r="D2485" s="611" t="s">
        <v>256</v>
      </c>
      <c r="E2485" s="602"/>
      <c r="F2485" s="603">
        <v>180</v>
      </c>
      <c r="G2485" s="604">
        <f>VLOOKUP(D2483,'ENSAIOS DE ORÇAMENTO'!$C$3:$L$79,5,FALSE)</f>
        <v>0.36932100000000001</v>
      </c>
      <c r="H2485" s="605">
        <f>IF(F2485=0,0,IF(F2485&lt;=30,(0.7*F2485+1.45)*G2485,((0.7*30+1.45)+0.58*(F2485-30))*G2485))</f>
        <v>40.422183450000006</v>
      </c>
      <c r="I2485" s="675"/>
      <c r="J2485" s="675"/>
      <c r="K2485" s="606">
        <f t="shared" si="493"/>
        <v>0</v>
      </c>
      <c r="L2485" s="607"/>
      <c r="M2485" s="614"/>
      <c r="N2485" s="614"/>
      <c r="O2485" s="287">
        <f t="shared" si="494"/>
        <v>0</v>
      </c>
      <c r="P2485" s="287">
        <f t="shared" si="495"/>
        <v>0</v>
      </c>
      <c r="Q2485" s="288"/>
      <c r="R2485" s="315" t="str">
        <f>IF(P2483&gt;0,"xy","")</f>
        <v/>
      </c>
      <c r="S2485" s="385" t="str">
        <f t="shared" si="491"/>
        <v/>
      </c>
    </row>
    <row r="2486" spans="2:19" ht="13.5" hidden="1" thickBot="1">
      <c r="B2486" s="609" t="s">
        <v>168</v>
      </c>
      <c r="C2486" s="610"/>
      <c r="D2486" s="611" t="s">
        <v>260</v>
      </c>
      <c r="E2486" s="602"/>
      <c r="F2486" s="603">
        <v>20</v>
      </c>
      <c r="G2486" s="604">
        <f>VLOOKUP(D2483,'ENSAIOS DE ORÇAMENTO'!$C$3:$L$79,6,FALSE)</f>
        <v>0.44511000000000006</v>
      </c>
      <c r="H2486" s="605">
        <f>IF(F2486=0,0,IF(F2486&lt;=30,(0.7*F2486+1.45)*G2486,((0.7*30+1.45)+0.58*(F2486-30))*G2486))</f>
        <v>6.8769495000000003</v>
      </c>
      <c r="I2486" s="675"/>
      <c r="J2486" s="675"/>
      <c r="K2486" s="606">
        <f t="shared" si="493"/>
        <v>0</v>
      </c>
      <c r="L2486" s="607"/>
      <c r="M2486" s="614"/>
      <c r="N2486" s="614"/>
      <c r="O2486" s="287">
        <f t="shared" si="494"/>
        <v>0</v>
      </c>
      <c r="P2486" s="287">
        <f t="shared" si="495"/>
        <v>0</v>
      </c>
      <c r="Q2486" s="288"/>
      <c r="R2486" s="243" t="str">
        <f>IF(P2483&gt;0,"xy","")</f>
        <v/>
      </c>
      <c r="S2486" s="385" t="str">
        <f t="shared" si="491"/>
        <v/>
      </c>
    </row>
    <row r="2487" spans="2:19" ht="13.5" hidden="1" thickBot="1">
      <c r="B2487" s="609" t="s">
        <v>168</v>
      </c>
      <c r="C2487" s="610"/>
      <c r="D2487" s="611" t="s">
        <v>417</v>
      </c>
      <c r="E2487" s="602"/>
      <c r="F2487" s="603">
        <v>30</v>
      </c>
      <c r="G2487" s="604">
        <f>VLOOKUP(D2483,'ENSAIOS DE ORÇAMENTO'!$C$3:$L$79,3,FALSE)</f>
        <v>0</v>
      </c>
      <c r="H2487" s="605">
        <f>IF(F2487=0,0,IF(F2487&lt;=30,(0.7*F2487+1.45)*G2487,((0.7*30+1.45)+0.58*(F2487-30))*G2487))</f>
        <v>0</v>
      </c>
      <c r="I2487" s="675"/>
      <c r="J2487" s="675"/>
      <c r="K2487" s="606">
        <f t="shared" si="493"/>
        <v>0</v>
      </c>
      <c r="L2487" s="607"/>
      <c r="M2487" s="614"/>
      <c r="N2487" s="614"/>
      <c r="O2487" s="287">
        <f t="shared" si="494"/>
        <v>0</v>
      </c>
      <c r="P2487" s="287">
        <f t="shared" si="495"/>
        <v>0</v>
      </c>
      <c r="Q2487" s="288"/>
      <c r="R2487" s="315" t="str">
        <f>IF(P2483&gt;0,"xy","")</f>
        <v/>
      </c>
      <c r="S2487" s="385" t="str">
        <f t="shared" si="491"/>
        <v/>
      </c>
    </row>
    <row r="2488" spans="2:19" ht="13.5" hidden="1" thickBot="1">
      <c r="B2488" s="609" t="s">
        <v>168</v>
      </c>
      <c r="C2488" s="610"/>
      <c r="D2488" s="611" t="s">
        <v>418</v>
      </c>
      <c r="E2488" s="602"/>
      <c r="F2488" s="603">
        <v>500</v>
      </c>
      <c r="G2488" s="604">
        <f>VLOOKUP(D2483,'ENSAIOS DE ORÇAMENTO'!$C$3:$L$79,10,FALSE)</f>
        <v>0</v>
      </c>
      <c r="H2488" s="605">
        <f>IF(F2488=0,0,IF(F2488&lt;=30,(0.7*F2488+1.45)*G2488,((0.7*30+1.45)+0.58*(F2488-30))*G2488))</f>
        <v>0</v>
      </c>
      <c r="I2488" s="675"/>
      <c r="J2488" s="675"/>
      <c r="K2488" s="606">
        <f t="shared" si="493"/>
        <v>0</v>
      </c>
      <c r="L2488" s="607"/>
      <c r="M2488" s="614"/>
      <c r="N2488" s="614"/>
      <c r="O2488" s="287">
        <f t="shared" si="494"/>
        <v>0</v>
      </c>
      <c r="P2488" s="287">
        <f t="shared" si="495"/>
        <v>0</v>
      </c>
      <c r="Q2488" s="288"/>
      <c r="R2488" s="315" t="str">
        <f>IF(P2483&gt;0,"xy","")</f>
        <v/>
      </c>
      <c r="S2488" s="385" t="str">
        <f t="shared" si="491"/>
        <v/>
      </c>
    </row>
    <row r="2489" spans="2:19" ht="13.5" hidden="1" thickBot="1">
      <c r="B2489" s="609" t="s">
        <v>53</v>
      </c>
      <c r="C2489" s="610" t="s">
        <v>212</v>
      </c>
      <c r="D2489" s="611" t="s">
        <v>442</v>
      </c>
      <c r="E2489" s="602"/>
      <c r="F2489" s="603"/>
      <c r="G2489" s="604"/>
      <c r="H2489" s="605">
        <f>SUM(H2490:H2494)</f>
        <v>298.40757310000004</v>
      </c>
      <c r="I2489" s="675">
        <f>VLOOKUP(D2489,'ENSAIOS DE ORÇAMENTO'!$C$3:$L$79,8,FALSE)</f>
        <v>882.17088000000001</v>
      </c>
      <c r="J2489" s="675">
        <f t="shared" ref="J2489" si="503">IF(ISBLANK(I2489),"",SUM(H2489:I2489))</f>
        <v>1180.5784530999999</v>
      </c>
      <c r="K2489" s="606">
        <f t="shared" si="493"/>
        <v>1432.63</v>
      </c>
      <c r="L2489" s="607" t="s">
        <v>21</v>
      </c>
      <c r="M2489" s="30"/>
      <c r="N2489" s="30"/>
      <c r="O2489" s="287">
        <f t="shared" si="494"/>
        <v>0</v>
      </c>
      <c r="P2489" s="287">
        <f t="shared" si="495"/>
        <v>0</v>
      </c>
      <c r="Q2489" s="288"/>
      <c r="S2489" s="385" t="str">
        <f t="shared" si="491"/>
        <v/>
      </c>
    </row>
    <row r="2490" spans="2:19" ht="13.5" hidden="1" thickBot="1">
      <c r="B2490" s="609" t="s">
        <v>168</v>
      </c>
      <c r="C2490" s="610"/>
      <c r="D2490" s="611" t="s">
        <v>218</v>
      </c>
      <c r="E2490" s="602"/>
      <c r="F2490" s="603">
        <v>500</v>
      </c>
      <c r="G2490" s="604">
        <f>VLOOKUP(D2489,'ENSAIOS DE ORÇAMENTO'!$C$3:$L$79,4,FALSE)</f>
        <v>0.38417000000000001</v>
      </c>
      <c r="H2490" s="605">
        <f>IF(F2490&lt;=30,(0.51*F2490+4.28)*G2490,((0.51*30+4.28)+0.42*(F2490-30))*G2490)</f>
        <v>83.357206600000012</v>
      </c>
      <c r="I2490" s="675"/>
      <c r="J2490" s="675"/>
      <c r="K2490" s="606">
        <f t="shared" si="493"/>
        <v>0</v>
      </c>
      <c r="L2490" s="607"/>
      <c r="M2490" s="614"/>
      <c r="N2490" s="614"/>
      <c r="O2490" s="287">
        <f t="shared" si="494"/>
        <v>0</v>
      </c>
      <c r="P2490" s="287">
        <f t="shared" si="495"/>
        <v>0</v>
      </c>
      <c r="Q2490" s="288"/>
      <c r="R2490" s="315" t="str">
        <f>IF(P2489&gt;0,"xy","")</f>
        <v/>
      </c>
      <c r="S2490" s="385" t="str">
        <f t="shared" si="491"/>
        <v/>
      </c>
    </row>
    <row r="2491" spans="2:19" ht="13.5" hidden="1" thickBot="1">
      <c r="B2491" s="609" t="s">
        <v>168</v>
      </c>
      <c r="C2491" s="610"/>
      <c r="D2491" s="611" t="s">
        <v>256</v>
      </c>
      <c r="E2491" s="602"/>
      <c r="F2491" s="603">
        <v>180</v>
      </c>
      <c r="G2491" s="604">
        <f>VLOOKUP(D2489,'ENSAIOS DE ORÇAMENTO'!$C$3:$L$79,5,FALSE)</f>
        <v>1.55436</v>
      </c>
      <c r="H2491" s="605">
        <f>IF(F2491=0,0,IF(F2491&lt;=30,(0.7*F2491+1.45)*G2491,((0.7*30+1.45)+0.58*(F2491-30))*G2491))</f>
        <v>170.12470200000001</v>
      </c>
      <c r="I2491" s="675"/>
      <c r="J2491" s="675"/>
      <c r="K2491" s="606">
        <f t="shared" si="493"/>
        <v>0</v>
      </c>
      <c r="L2491" s="607"/>
      <c r="M2491" s="614"/>
      <c r="N2491" s="614"/>
      <c r="O2491" s="287">
        <f t="shared" si="494"/>
        <v>0</v>
      </c>
      <c r="P2491" s="287">
        <f t="shared" si="495"/>
        <v>0</v>
      </c>
      <c r="Q2491" s="288"/>
      <c r="R2491" s="315" t="str">
        <f>IF(P2489&gt;0,"xy","")</f>
        <v/>
      </c>
      <c r="S2491" s="385" t="str">
        <f t="shared" si="491"/>
        <v/>
      </c>
    </row>
    <row r="2492" spans="2:19" ht="13.5" hidden="1" thickBot="1">
      <c r="B2492" s="609" t="s">
        <v>168</v>
      </c>
      <c r="C2492" s="610"/>
      <c r="D2492" s="611" t="s">
        <v>260</v>
      </c>
      <c r="E2492" s="602"/>
      <c r="F2492" s="603">
        <v>20</v>
      </c>
      <c r="G2492" s="604">
        <f>VLOOKUP(D2489,'ENSAIOS DE ORÇAMENTO'!$C$3:$L$79,6,FALSE)</f>
        <v>2.9078100000000004</v>
      </c>
      <c r="H2492" s="605">
        <f>IF(F2492=0,0,IF(F2492&lt;=30,(0.7*F2492+1.45)*G2492,((0.7*30+1.45)+0.58*(F2492-30))*G2492))</f>
        <v>44.925664500000003</v>
      </c>
      <c r="I2492" s="675"/>
      <c r="J2492" s="675"/>
      <c r="K2492" s="606">
        <f t="shared" si="493"/>
        <v>0</v>
      </c>
      <c r="L2492" s="607"/>
      <c r="M2492" s="614"/>
      <c r="N2492" s="614"/>
      <c r="O2492" s="287">
        <f t="shared" si="494"/>
        <v>0</v>
      </c>
      <c r="P2492" s="287">
        <f t="shared" si="495"/>
        <v>0</v>
      </c>
      <c r="Q2492" s="288"/>
      <c r="R2492" s="243" t="str">
        <f>IF(P2489&gt;0,"xy","")</f>
        <v/>
      </c>
      <c r="S2492" s="385" t="str">
        <f t="shared" si="491"/>
        <v/>
      </c>
    </row>
    <row r="2493" spans="2:19" ht="13.5" hidden="1" thickBot="1">
      <c r="B2493" s="609" t="s">
        <v>168</v>
      </c>
      <c r="C2493" s="610"/>
      <c r="D2493" s="611" t="s">
        <v>417</v>
      </c>
      <c r="E2493" s="602"/>
      <c r="F2493" s="603">
        <v>30</v>
      </c>
      <c r="G2493" s="604">
        <f>VLOOKUP(D2489,'ENSAIOS DE ORÇAMENTO'!$C$3:$L$79,3,FALSE)</f>
        <v>0</v>
      </c>
      <c r="H2493" s="605">
        <f>IF(F2493=0,0,IF(F2493&lt;=30,(0.7*F2493+1.45)*G2493,((0.7*30+1.45)+0.58*(F2493-30))*G2493))</f>
        <v>0</v>
      </c>
      <c r="I2493" s="675"/>
      <c r="J2493" s="675"/>
      <c r="K2493" s="606">
        <f t="shared" si="493"/>
        <v>0</v>
      </c>
      <c r="L2493" s="607"/>
      <c r="M2493" s="614"/>
      <c r="N2493" s="614"/>
      <c r="O2493" s="287">
        <f t="shared" si="494"/>
        <v>0</v>
      </c>
      <c r="P2493" s="287">
        <f t="shared" si="495"/>
        <v>0</v>
      </c>
      <c r="Q2493" s="288"/>
      <c r="R2493" s="315" t="str">
        <f>IF(P2489&gt;0,"xy","")</f>
        <v/>
      </c>
      <c r="S2493" s="385" t="str">
        <f t="shared" si="491"/>
        <v/>
      </c>
    </row>
    <row r="2494" spans="2:19" ht="13.5" hidden="1" thickBot="1">
      <c r="B2494" s="609" t="s">
        <v>168</v>
      </c>
      <c r="C2494" s="610"/>
      <c r="D2494" s="611" t="s">
        <v>418</v>
      </c>
      <c r="E2494" s="602"/>
      <c r="F2494" s="603">
        <v>500</v>
      </c>
      <c r="G2494" s="604">
        <f>VLOOKUP(D2489,'ENSAIOS DE ORÇAMENTO'!$C$3:$L$79,10,FALSE)</f>
        <v>0</v>
      </c>
      <c r="H2494" s="605">
        <f>IF(F2494=0,0,IF(F2494&lt;=30,(0.7*F2494+1.45)*G2494,((0.7*30+1.45)+0.58*(F2494-30))*G2494))</f>
        <v>0</v>
      </c>
      <c r="I2494" s="675"/>
      <c r="J2494" s="675"/>
      <c r="K2494" s="606">
        <f t="shared" si="493"/>
        <v>0</v>
      </c>
      <c r="L2494" s="607"/>
      <c r="M2494" s="614"/>
      <c r="N2494" s="614"/>
      <c r="O2494" s="287">
        <f t="shared" si="494"/>
        <v>0</v>
      </c>
      <c r="P2494" s="287">
        <f t="shared" si="495"/>
        <v>0</v>
      </c>
      <c r="Q2494" s="288"/>
      <c r="R2494" s="315" t="str">
        <f>IF(P2489&gt;0,"xy","")</f>
        <v/>
      </c>
      <c r="S2494" s="385" t="str">
        <f t="shared" si="491"/>
        <v/>
      </c>
    </row>
    <row r="2495" spans="2:19" ht="13.5" hidden="1" thickBot="1">
      <c r="B2495" s="609" t="s">
        <v>53</v>
      </c>
      <c r="C2495" s="610" t="s">
        <v>212</v>
      </c>
      <c r="D2495" s="611" t="s">
        <v>443</v>
      </c>
      <c r="E2495" s="602"/>
      <c r="F2495" s="603"/>
      <c r="G2495" s="604"/>
      <c r="H2495" s="605">
        <f>SUM(H2496:H2500)</f>
        <v>368.31475349999999</v>
      </c>
      <c r="I2495" s="675">
        <f>VLOOKUP(D2495,'ENSAIOS DE ORÇAMENTO'!$C$3:$L$79,8,FALSE)</f>
        <v>1059.2508666666668</v>
      </c>
      <c r="J2495" s="675">
        <f t="shared" ref="J2495" si="504">IF(ISBLANK(I2495),"",SUM(H2495:I2495))</f>
        <v>1427.5656201666668</v>
      </c>
      <c r="K2495" s="606">
        <f t="shared" si="493"/>
        <v>1732.35</v>
      </c>
      <c r="L2495" s="607" t="s">
        <v>21</v>
      </c>
      <c r="M2495" s="30"/>
      <c r="N2495" s="30"/>
      <c r="O2495" s="287">
        <f t="shared" si="494"/>
        <v>0</v>
      </c>
      <c r="P2495" s="287">
        <f t="shared" si="495"/>
        <v>0</v>
      </c>
      <c r="Q2495" s="288"/>
      <c r="S2495" s="385" t="str">
        <f t="shared" si="491"/>
        <v/>
      </c>
    </row>
    <row r="2496" spans="2:19" ht="13.5" hidden="1" thickBot="1">
      <c r="B2496" s="609" t="s">
        <v>168</v>
      </c>
      <c r="C2496" s="610"/>
      <c r="D2496" s="611" t="s">
        <v>218</v>
      </c>
      <c r="E2496" s="602"/>
      <c r="F2496" s="603">
        <v>500</v>
      </c>
      <c r="G2496" s="604">
        <f>VLOOKUP(D2495,'ENSAIOS DE ORÇAMENTO'!$C$3:$L$79,4,FALSE)</f>
        <v>0.47295000000000004</v>
      </c>
      <c r="H2496" s="605">
        <f>IF(F2496&lt;=30,(0.51*F2496+4.28)*G2496,((0.51*30+4.28)+0.42*(F2496-30))*G2496)</f>
        <v>102.62069100000002</v>
      </c>
      <c r="I2496" s="675"/>
      <c r="J2496" s="675"/>
      <c r="K2496" s="606">
        <f t="shared" si="493"/>
        <v>0</v>
      </c>
      <c r="L2496" s="607"/>
      <c r="M2496" s="614"/>
      <c r="N2496" s="614"/>
      <c r="O2496" s="287">
        <f t="shared" si="494"/>
        <v>0</v>
      </c>
      <c r="P2496" s="287">
        <f t="shared" si="495"/>
        <v>0</v>
      </c>
      <c r="Q2496" s="288"/>
      <c r="R2496" s="315" t="str">
        <f>IF(P2495&gt;0,"xy","")</f>
        <v/>
      </c>
      <c r="S2496" s="385" t="str">
        <f t="shared" si="491"/>
        <v/>
      </c>
    </row>
    <row r="2497" spans="2:19" ht="13.5" hidden="1" thickBot="1">
      <c r="B2497" s="609" t="s">
        <v>168</v>
      </c>
      <c r="C2497" s="610"/>
      <c r="D2497" s="611" t="s">
        <v>256</v>
      </c>
      <c r="E2497" s="602"/>
      <c r="F2497" s="603">
        <v>180</v>
      </c>
      <c r="G2497" s="604">
        <f>VLOOKUP(D2495,'ENSAIOS DE ORÇAMENTO'!$C$3:$L$79,5,FALSE)</f>
        <v>1.9178999999999999</v>
      </c>
      <c r="H2497" s="605">
        <f>IF(F2497=0,0,IF(F2497&lt;=30,(0.7*F2497+1.45)*G2497,((0.7*30+1.45)+0.58*(F2497-30))*G2497))</f>
        <v>209.91415499999999</v>
      </c>
      <c r="I2497" s="675"/>
      <c r="J2497" s="675"/>
      <c r="K2497" s="606">
        <f t="shared" si="493"/>
        <v>0</v>
      </c>
      <c r="L2497" s="607"/>
      <c r="M2497" s="614"/>
      <c r="N2497" s="614"/>
      <c r="O2497" s="287">
        <f t="shared" si="494"/>
        <v>0</v>
      </c>
      <c r="P2497" s="287">
        <f t="shared" si="495"/>
        <v>0</v>
      </c>
      <c r="Q2497" s="288"/>
      <c r="R2497" s="315" t="str">
        <f>IF(P2495&gt;0,"xy","")</f>
        <v/>
      </c>
      <c r="S2497" s="385" t="str">
        <f t="shared" si="491"/>
        <v/>
      </c>
    </row>
    <row r="2498" spans="2:19" ht="13.5" hidden="1" thickBot="1">
      <c r="B2498" s="609" t="s">
        <v>168</v>
      </c>
      <c r="C2498" s="610"/>
      <c r="D2498" s="611" t="s">
        <v>260</v>
      </c>
      <c r="E2498" s="602"/>
      <c r="F2498" s="603">
        <v>20</v>
      </c>
      <c r="G2498" s="604">
        <f>VLOOKUP(D2495,'ENSAIOS DE ORÇAMENTO'!$C$3:$L$79,6,FALSE)</f>
        <v>3.6103500000000004</v>
      </c>
      <c r="H2498" s="605">
        <f>IF(F2498=0,0,IF(F2498&lt;=30,(0.7*F2498+1.45)*G2498,((0.7*30+1.45)+0.58*(F2498-30))*G2498))</f>
        <v>55.7799075</v>
      </c>
      <c r="I2498" s="675"/>
      <c r="J2498" s="675"/>
      <c r="K2498" s="606">
        <f t="shared" si="493"/>
        <v>0</v>
      </c>
      <c r="L2498" s="607"/>
      <c r="M2498" s="614"/>
      <c r="N2498" s="614"/>
      <c r="O2498" s="287">
        <f t="shared" si="494"/>
        <v>0</v>
      </c>
      <c r="P2498" s="287">
        <f t="shared" si="495"/>
        <v>0</v>
      </c>
      <c r="Q2498" s="288"/>
      <c r="R2498" s="243" t="str">
        <f>IF(P2495&gt;0,"xy","")</f>
        <v/>
      </c>
      <c r="S2498" s="385" t="str">
        <f t="shared" si="491"/>
        <v/>
      </c>
    </row>
    <row r="2499" spans="2:19" ht="13.5" hidden="1" thickBot="1">
      <c r="B2499" s="609" t="s">
        <v>168</v>
      </c>
      <c r="C2499" s="610"/>
      <c r="D2499" s="611" t="s">
        <v>417</v>
      </c>
      <c r="E2499" s="602"/>
      <c r="F2499" s="603">
        <v>30</v>
      </c>
      <c r="G2499" s="604">
        <f>VLOOKUP(D2495,'ENSAIOS DE ORÇAMENTO'!$C$3:$L$79,3,FALSE)</f>
        <v>0</v>
      </c>
      <c r="H2499" s="605">
        <f>IF(F2499=0,0,IF(F2499&lt;=30,(0.7*F2499+1.45)*G2499,((0.7*30+1.45)+0.58*(F2499-30))*G2499))</f>
        <v>0</v>
      </c>
      <c r="I2499" s="675"/>
      <c r="J2499" s="675"/>
      <c r="K2499" s="606">
        <f t="shared" si="493"/>
        <v>0</v>
      </c>
      <c r="L2499" s="607"/>
      <c r="M2499" s="614"/>
      <c r="N2499" s="614"/>
      <c r="O2499" s="287">
        <f t="shared" si="494"/>
        <v>0</v>
      </c>
      <c r="P2499" s="287">
        <f t="shared" si="495"/>
        <v>0</v>
      </c>
      <c r="Q2499" s="288"/>
      <c r="R2499" s="315" t="str">
        <f>IF(P2495&gt;0,"xy","")</f>
        <v/>
      </c>
      <c r="S2499" s="385" t="str">
        <f t="shared" si="491"/>
        <v/>
      </c>
    </row>
    <row r="2500" spans="2:19" ht="13.5" hidden="1" thickBot="1">
      <c r="B2500" s="609" t="s">
        <v>168</v>
      </c>
      <c r="C2500" s="610"/>
      <c r="D2500" s="611" t="s">
        <v>418</v>
      </c>
      <c r="E2500" s="602"/>
      <c r="F2500" s="603">
        <v>500</v>
      </c>
      <c r="G2500" s="604">
        <f>VLOOKUP(D2495,'ENSAIOS DE ORÇAMENTO'!$C$3:$L$79,10,FALSE)</f>
        <v>0</v>
      </c>
      <c r="H2500" s="605">
        <f>IF(F2500=0,0,IF(F2500&lt;=30,(0.7*F2500+1.45)*G2500,((0.7*30+1.45)+0.58*(F2500-30))*G2500))</f>
        <v>0</v>
      </c>
      <c r="I2500" s="675"/>
      <c r="J2500" s="675"/>
      <c r="K2500" s="606">
        <f t="shared" si="493"/>
        <v>0</v>
      </c>
      <c r="L2500" s="607"/>
      <c r="M2500" s="614"/>
      <c r="N2500" s="614"/>
      <c r="O2500" s="287">
        <f t="shared" si="494"/>
        <v>0</v>
      </c>
      <c r="P2500" s="287">
        <f t="shared" si="495"/>
        <v>0</v>
      </c>
      <c r="Q2500" s="288"/>
      <c r="R2500" s="315" t="str">
        <f>IF(P2495&gt;0,"xy","")</f>
        <v/>
      </c>
      <c r="S2500" s="385" t="str">
        <f t="shared" si="491"/>
        <v/>
      </c>
    </row>
    <row r="2501" spans="2:19" ht="13.5" hidden="1" thickBot="1">
      <c r="B2501" s="609" t="s">
        <v>53</v>
      </c>
      <c r="C2501" s="610" t="s">
        <v>212</v>
      </c>
      <c r="D2501" s="611" t="s">
        <v>444</v>
      </c>
      <c r="E2501" s="602"/>
      <c r="F2501" s="603"/>
      <c r="G2501" s="604"/>
      <c r="H2501" s="605">
        <f>SUM(H2502:H2506)</f>
        <v>588.88169779999998</v>
      </c>
      <c r="I2501" s="675">
        <f>VLOOKUP(D2501,'ENSAIOS DE ORÇAMENTO'!$C$3:$L$79,8,FALSE)</f>
        <v>1635.64176</v>
      </c>
      <c r="J2501" s="675">
        <f t="shared" ref="J2501" si="505">IF(ISBLANK(I2501),"",SUM(H2501:I2501))</f>
        <v>2224.5234578</v>
      </c>
      <c r="K2501" s="606">
        <f t="shared" si="493"/>
        <v>2699.46</v>
      </c>
      <c r="L2501" s="607" t="s">
        <v>21</v>
      </c>
      <c r="M2501" s="30"/>
      <c r="N2501" s="30"/>
      <c r="O2501" s="287">
        <f t="shared" si="494"/>
        <v>0</v>
      </c>
      <c r="P2501" s="287">
        <f t="shared" si="495"/>
        <v>0</v>
      </c>
      <c r="Q2501" s="288"/>
      <c r="S2501" s="385" t="str">
        <f t="shared" si="491"/>
        <v/>
      </c>
    </row>
    <row r="2502" spans="2:19" ht="13.5" hidden="1" thickBot="1">
      <c r="B2502" s="609" t="s">
        <v>168</v>
      </c>
      <c r="C2502" s="610"/>
      <c r="D2502" s="611" t="s">
        <v>218</v>
      </c>
      <c r="E2502" s="602"/>
      <c r="F2502" s="603">
        <v>500</v>
      </c>
      <c r="G2502" s="604">
        <f>VLOOKUP(D2501,'ENSAIOS DE ORÇAMENTO'!$C$3:$L$79,4,FALSE)</f>
        <v>0.75196000000000007</v>
      </c>
      <c r="H2502" s="605">
        <f>IF(F2502&lt;=30,(0.51*F2502+4.28)*G2502,((0.51*30+4.28)+0.42*(F2502-30))*G2502)</f>
        <v>163.16028080000004</v>
      </c>
      <c r="I2502" s="675"/>
      <c r="J2502" s="675"/>
      <c r="K2502" s="606">
        <f t="shared" si="493"/>
        <v>0</v>
      </c>
      <c r="L2502" s="607"/>
      <c r="M2502" s="614"/>
      <c r="N2502" s="614"/>
      <c r="O2502" s="287">
        <f t="shared" si="494"/>
        <v>0</v>
      </c>
      <c r="P2502" s="287">
        <f t="shared" si="495"/>
        <v>0</v>
      </c>
      <c r="Q2502" s="288"/>
      <c r="R2502" s="315" t="str">
        <f>IF(P2501&gt;0,"xy","")</f>
        <v/>
      </c>
      <c r="S2502" s="385" t="str">
        <f t="shared" si="491"/>
        <v/>
      </c>
    </row>
    <row r="2503" spans="2:19" ht="13.5" hidden="1" thickBot="1">
      <c r="B2503" s="609" t="s">
        <v>168</v>
      </c>
      <c r="C2503" s="610"/>
      <c r="D2503" s="611" t="s">
        <v>256</v>
      </c>
      <c r="E2503" s="602"/>
      <c r="F2503" s="603">
        <v>180</v>
      </c>
      <c r="G2503" s="604">
        <f>VLOOKUP(D2501,'ENSAIOS DE ORÇAMENTO'!$C$3:$L$79,5,FALSE)</f>
        <v>3.0643799999999999</v>
      </c>
      <c r="H2503" s="605">
        <f>IF(F2503=0,0,IF(F2503&lt;=30,(0.7*F2503+1.45)*G2503,((0.7*30+1.45)+0.58*(F2503-30))*G2503))</f>
        <v>335.39639099999999</v>
      </c>
      <c r="I2503" s="675"/>
      <c r="J2503" s="675"/>
      <c r="K2503" s="606">
        <f t="shared" si="493"/>
        <v>0</v>
      </c>
      <c r="L2503" s="607"/>
      <c r="M2503" s="614"/>
      <c r="N2503" s="614"/>
      <c r="O2503" s="287">
        <f t="shared" si="494"/>
        <v>0</v>
      </c>
      <c r="P2503" s="287">
        <f t="shared" si="495"/>
        <v>0</v>
      </c>
      <c r="Q2503" s="288"/>
      <c r="R2503" s="315" t="str">
        <f>IF(P2501&gt;0,"xy","")</f>
        <v/>
      </c>
      <c r="S2503" s="385" t="str">
        <f t="shared" si="491"/>
        <v/>
      </c>
    </row>
    <row r="2504" spans="2:19" ht="13.5" hidden="1" thickBot="1">
      <c r="B2504" s="609" t="s">
        <v>168</v>
      </c>
      <c r="C2504" s="610"/>
      <c r="D2504" s="611" t="s">
        <v>260</v>
      </c>
      <c r="E2504" s="602"/>
      <c r="F2504" s="603">
        <v>20</v>
      </c>
      <c r="G2504" s="604">
        <f>VLOOKUP(D2501,'ENSAIOS DE ORÇAMENTO'!$C$3:$L$79,6,FALSE)</f>
        <v>5.8462800000000001</v>
      </c>
      <c r="H2504" s="605">
        <f>IF(F2504=0,0,IF(F2504&lt;=30,(0.7*F2504+1.45)*G2504,((0.7*30+1.45)+0.58*(F2504-30))*G2504))</f>
        <v>90.325025999999994</v>
      </c>
      <c r="I2504" s="675"/>
      <c r="J2504" s="675"/>
      <c r="K2504" s="606">
        <f t="shared" si="493"/>
        <v>0</v>
      </c>
      <c r="L2504" s="607"/>
      <c r="M2504" s="614"/>
      <c r="N2504" s="614"/>
      <c r="O2504" s="287">
        <f t="shared" si="494"/>
        <v>0</v>
      </c>
      <c r="P2504" s="287">
        <f t="shared" si="495"/>
        <v>0</v>
      </c>
      <c r="Q2504" s="288"/>
      <c r="R2504" s="243" t="str">
        <f>IF(P2501&gt;0,"xy","")</f>
        <v/>
      </c>
      <c r="S2504" s="385" t="str">
        <f t="shared" ref="S2504:S2567" si="506">IF(R2504="x","x",IF(R2504="y","x",IF(R2504="xy","x",IF(P2504&gt;0,"x",""))))</f>
        <v/>
      </c>
    </row>
    <row r="2505" spans="2:19" ht="13.5" hidden="1" thickBot="1">
      <c r="B2505" s="609" t="s">
        <v>168</v>
      </c>
      <c r="C2505" s="610"/>
      <c r="D2505" s="611" t="s">
        <v>417</v>
      </c>
      <c r="E2505" s="602"/>
      <c r="F2505" s="603">
        <v>30</v>
      </c>
      <c r="G2505" s="604">
        <f>VLOOKUP(D2501,'ENSAIOS DE ORÇAMENTO'!$C$3:$L$79,3,FALSE)</f>
        <v>0</v>
      </c>
      <c r="H2505" s="605">
        <f>IF(F2505=0,0,IF(F2505&lt;=30,(0.7*F2505+1.45)*G2505,((0.7*30+1.45)+0.58*(F2505-30))*G2505))</f>
        <v>0</v>
      </c>
      <c r="I2505" s="675"/>
      <c r="J2505" s="675"/>
      <c r="K2505" s="606">
        <f t="shared" ref="K2505:K2568" si="507">IF(ISBLANK(I2505),0,ROUND(J2505*(1+$F$10)*(1+$F$11*E2505),2))</f>
        <v>0</v>
      </c>
      <c r="L2505" s="607"/>
      <c r="M2505" s="614"/>
      <c r="N2505" s="614"/>
      <c r="O2505" s="287">
        <f t="shared" si="494"/>
        <v>0</v>
      </c>
      <c r="P2505" s="287">
        <f t="shared" si="495"/>
        <v>0</v>
      </c>
      <c r="Q2505" s="288"/>
      <c r="R2505" s="315" t="str">
        <f>IF(P2501&gt;0,"xy","")</f>
        <v/>
      </c>
      <c r="S2505" s="385" t="str">
        <f t="shared" si="506"/>
        <v/>
      </c>
    </row>
    <row r="2506" spans="2:19" ht="13.5" hidden="1" thickBot="1">
      <c r="B2506" s="609" t="s">
        <v>168</v>
      </c>
      <c r="C2506" s="610"/>
      <c r="D2506" s="611" t="s">
        <v>418</v>
      </c>
      <c r="E2506" s="602"/>
      <c r="F2506" s="603">
        <v>500</v>
      </c>
      <c r="G2506" s="604">
        <f>VLOOKUP(D2501,'ENSAIOS DE ORÇAMENTO'!$C$3:$L$79,10,FALSE)</f>
        <v>0</v>
      </c>
      <c r="H2506" s="605">
        <f>IF(F2506=0,0,IF(F2506&lt;=30,(0.7*F2506+1.45)*G2506,((0.7*30+1.45)+0.58*(F2506-30))*G2506))</f>
        <v>0</v>
      </c>
      <c r="I2506" s="675"/>
      <c r="J2506" s="675"/>
      <c r="K2506" s="606">
        <f t="shared" si="507"/>
        <v>0</v>
      </c>
      <c r="L2506" s="607"/>
      <c r="M2506" s="614"/>
      <c r="N2506" s="614"/>
      <c r="O2506" s="287">
        <f t="shared" si="494"/>
        <v>0</v>
      </c>
      <c r="P2506" s="287">
        <f t="shared" si="495"/>
        <v>0</v>
      </c>
      <c r="Q2506" s="288"/>
      <c r="R2506" s="315" t="str">
        <f>IF(P2501&gt;0,"xy","")</f>
        <v/>
      </c>
      <c r="S2506" s="385" t="str">
        <f t="shared" si="506"/>
        <v/>
      </c>
    </row>
    <row r="2507" spans="2:19" ht="13.5" hidden="1" thickBot="1">
      <c r="B2507" s="609" t="s">
        <v>53</v>
      </c>
      <c r="C2507" s="610" t="s">
        <v>212</v>
      </c>
      <c r="D2507" s="611" t="s">
        <v>163</v>
      </c>
      <c r="E2507" s="602"/>
      <c r="F2507" s="603"/>
      <c r="G2507" s="604"/>
      <c r="H2507" s="605">
        <f>SUM(H2508:H2512)</f>
        <v>854.04889430000003</v>
      </c>
      <c r="I2507" s="675">
        <f>VLOOKUP(D2507,'ENSAIOS DE ORÇAMENTO'!$C$3:$L$79,8,FALSE)</f>
        <v>2313.6580933333335</v>
      </c>
      <c r="J2507" s="675">
        <f t="shared" ref="J2507" si="508">IF(ISBLANK(I2507),"",SUM(H2507:I2507))</f>
        <v>3167.7069876333335</v>
      </c>
      <c r="K2507" s="606">
        <f t="shared" si="507"/>
        <v>3844.01</v>
      </c>
      <c r="L2507" s="607" t="s">
        <v>21</v>
      </c>
      <c r="M2507" s="30"/>
      <c r="N2507" s="30"/>
      <c r="O2507" s="287">
        <f t="shared" ref="O2507:O2570" si="509">IF(ISBLANK(M2507),0,ROUND(K2507*M2507,2))</f>
        <v>0</v>
      </c>
      <c r="P2507" s="287">
        <f t="shared" ref="P2507:P2570" si="510">IF(ISBLANK(N2507),0,ROUND(M2507*N2507,2))</f>
        <v>0</v>
      </c>
      <c r="Q2507" s="288"/>
      <c r="S2507" s="385" t="str">
        <f t="shared" si="506"/>
        <v/>
      </c>
    </row>
    <row r="2508" spans="2:19" ht="13.5" hidden="1" thickBot="1">
      <c r="B2508" s="609" t="s">
        <v>168</v>
      </c>
      <c r="C2508" s="610"/>
      <c r="D2508" s="611" t="s">
        <v>218</v>
      </c>
      <c r="E2508" s="602"/>
      <c r="F2508" s="603">
        <v>500</v>
      </c>
      <c r="G2508" s="604">
        <f>VLOOKUP(D2507,'ENSAIOS DE ORÇAMENTO'!$C$3:$L$79,4,FALSE)</f>
        <v>1.08901</v>
      </c>
      <c r="H2508" s="605">
        <f>IF(F2508&lt;=30,(0.51*F2508+4.28)*G2508,((0.51*30+4.28)+0.42*(F2508-30))*G2508)</f>
        <v>236.29338980000003</v>
      </c>
      <c r="I2508" s="675"/>
      <c r="J2508" s="675"/>
      <c r="K2508" s="606">
        <f t="shared" si="507"/>
        <v>0</v>
      </c>
      <c r="L2508" s="607"/>
      <c r="M2508" s="614"/>
      <c r="N2508" s="614"/>
      <c r="O2508" s="287">
        <f t="shared" si="509"/>
        <v>0</v>
      </c>
      <c r="P2508" s="287">
        <f t="shared" si="510"/>
        <v>0</v>
      </c>
      <c r="Q2508" s="288"/>
      <c r="R2508" s="315" t="str">
        <f>IF(P2507&gt;0,"xy","")</f>
        <v/>
      </c>
      <c r="S2508" s="385" t="str">
        <f t="shared" si="506"/>
        <v/>
      </c>
    </row>
    <row r="2509" spans="2:19" ht="13.5" hidden="1" thickBot="1">
      <c r="B2509" s="609" t="s">
        <v>168</v>
      </c>
      <c r="C2509" s="610"/>
      <c r="D2509" s="611" t="s">
        <v>256</v>
      </c>
      <c r="E2509" s="602"/>
      <c r="F2509" s="603">
        <v>180</v>
      </c>
      <c r="G2509" s="604">
        <f>VLOOKUP(D2507,'ENSAIOS DE ORÇAMENTO'!$C$3:$L$79,5,FALSE)</f>
        <v>4.4434800000000001</v>
      </c>
      <c r="H2509" s="605">
        <f>IF(F2509=0,0,IF(F2509&lt;=30,(0.7*F2509+1.45)*G2509,((0.7*30+1.45)+0.58*(F2509-30))*G2509))</f>
        <v>486.338886</v>
      </c>
      <c r="I2509" s="675"/>
      <c r="J2509" s="675"/>
      <c r="K2509" s="606">
        <f t="shared" si="507"/>
        <v>0</v>
      </c>
      <c r="L2509" s="607"/>
      <c r="M2509" s="614"/>
      <c r="N2509" s="614"/>
      <c r="O2509" s="287">
        <f t="shared" si="509"/>
        <v>0</v>
      </c>
      <c r="P2509" s="287">
        <f t="shared" si="510"/>
        <v>0</v>
      </c>
      <c r="Q2509" s="288"/>
      <c r="R2509" s="315" t="str">
        <f>IF(P2507&gt;0,"xy","")</f>
        <v/>
      </c>
      <c r="S2509" s="385" t="str">
        <f t="shared" si="506"/>
        <v/>
      </c>
    </row>
    <row r="2510" spans="2:19" ht="13.5" hidden="1" thickBot="1">
      <c r="B2510" s="609" t="s">
        <v>168</v>
      </c>
      <c r="C2510" s="610"/>
      <c r="D2510" s="611" t="s">
        <v>260</v>
      </c>
      <c r="E2510" s="602"/>
      <c r="F2510" s="603">
        <v>20</v>
      </c>
      <c r="G2510" s="604">
        <f>VLOOKUP(D2507,'ENSAIOS DE ORÇAMENTO'!$C$3:$L$79,6,FALSE)</f>
        <v>8.5059300000000011</v>
      </c>
      <c r="H2510" s="605">
        <f>IF(F2510=0,0,IF(F2510&lt;=30,(0.7*F2510+1.45)*G2510,((0.7*30+1.45)+0.58*(F2510-30))*G2510))</f>
        <v>131.4166185</v>
      </c>
      <c r="I2510" s="675"/>
      <c r="J2510" s="675"/>
      <c r="K2510" s="606">
        <f t="shared" si="507"/>
        <v>0</v>
      </c>
      <c r="L2510" s="607"/>
      <c r="M2510" s="614"/>
      <c r="N2510" s="614"/>
      <c r="O2510" s="287">
        <f t="shared" si="509"/>
        <v>0</v>
      </c>
      <c r="P2510" s="287">
        <f t="shared" si="510"/>
        <v>0</v>
      </c>
      <c r="Q2510" s="288"/>
      <c r="R2510" s="243" t="str">
        <f>IF(P2507&gt;0,"xy","")</f>
        <v/>
      </c>
      <c r="S2510" s="385" t="str">
        <f t="shared" si="506"/>
        <v/>
      </c>
    </row>
    <row r="2511" spans="2:19" ht="13.5" hidden="1" thickBot="1">
      <c r="B2511" s="609" t="s">
        <v>168</v>
      </c>
      <c r="C2511" s="610"/>
      <c r="D2511" s="611" t="s">
        <v>417</v>
      </c>
      <c r="E2511" s="602"/>
      <c r="F2511" s="603">
        <v>30</v>
      </c>
      <c r="G2511" s="604">
        <f>VLOOKUP(D2507,'ENSAIOS DE ORÇAMENTO'!$C$3:$L$79,3,FALSE)</f>
        <v>0</v>
      </c>
      <c r="H2511" s="605">
        <f>IF(F2511=0,0,IF(F2511&lt;=30,(0.7*F2511+1.45)*G2511,((0.7*30+1.45)+0.58*(F2511-30))*G2511))</f>
        <v>0</v>
      </c>
      <c r="I2511" s="675"/>
      <c r="J2511" s="675"/>
      <c r="K2511" s="606">
        <f t="shared" si="507"/>
        <v>0</v>
      </c>
      <c r="L2511" s="607"/>
      <c r="M2511" s="614"/>
      <c r="N2511" s="614"/>
      <c r="O2511" s="287">
        <f t="shared" si="509"/>
        <v>0</v>
      </c>
      <c r="P2511" s="287">
        <f t="shared" si="510"/>
        <v>0</v>
      </c>
      <c r="Q2511" s="288"/>
      <c r="R2511" s="315" t="str">
        <f>IF(P2507&gt;0,"xy","")</f>
        <v/>
      </c>
      <c r="S2511" s="385" t="str">
        <f t="shared" si="506"/>
        <v/>
      </c>
    </row>
    <row r="2512" spans="2:19" ht="13.5" hidden="1" thickBot="1">
      <c r="B2512" s="609" t="s">
        <v>168</v>
      </c>
      <c r="C2512" s="610"/>
      <c r="D2512" s="611" t="s">
        <v>418</v>
      </c>
      <c r="E2512" s="602"/>
      <c r="F2512" s="603">
        <v>500</v>
      </c>
      <c r="G2512" s="604">
        <f>VLOOKUP(D2507,'ENSAIOS DE ORÇAMENTO'!$C$3:$L$79,10,FALSE)</f>
        <v>0</v>
      </c>
      <c r="H2512" s="605">
        <f>IF(F2512=0,0,IF(F2512&lt;=30,(0.7*F2512+1.45)*G2512,((0.7*30+1.45)+0.58*(F2512-30))*G2512))</f>
        <v>0</v>
      </c>
      <c r="I2512" s="675"/>
      <c r="J2512" s="675"/>
      <c r="K2512" s="606">
        <f t="shared" si="507"/>
        <v>0</v>
      </c>
      <c r="L2512" s="607"/>
      <c r="M2512" s="614"/>
      <c r="N2512" s="614"/>
      <c r="O2512" s="287">
        <f t="shared" si="509"/>
        <v>0</v>
      </c>
      <c r="P2512" s="287">
        <f t="shared" si="510"/>
        <v>0</v>
      </c>
      <c r="Q2512" s="288"/>
      <c r="R2512" s="315" t="str">
        <f>IF(P2507&gt;0,"xy","")</f>
        <v/>
      </c>
      <c r="S2512" s="385" t="str">
        <f t="shared" si="506"/>
        <v/>
      </c>
    </row>
    <row r="2513" spans="2:19" ht="13.5" hidden="1" thickBot="1">
      <c r="B2513" s="609" t="s">
        <v>53</v>
      </c>
      <c r="C2513" s="610" t="s">
        <v>212</v>
      </c>
      <c r="D2513" s="611" t="s">
        <v>164</v>
      </c>
      <c r="E2513" s="602"/>
      <c r="F2513" s="603"/>
      <c r="G2513" s="604"/>
      <c r="H2513" s="605">
        <f>SUM(H2514:H2518)</f>
        <v>1159.7577343</v>
      </c>
      <c r="I2513" s="675">
        <f>VLOOKUP(D2513,'ENSAIOS DE ORÇAMENTO'!$C$3:$L$79,8,FALSE)</f>
        <v>3097.2651599999999</v>
      </c>
      <c r="J2513" s="675">
        <f t="shared" ref="J2513" si="511">IF(ISBLANK(I2513),"",SUM(H2513:I2513))</f>
        <v>4257.0228943000002</v>
      </c>
      <c r="K2513" s="606">
        <f t="shared" si="507"/>
        <v>5165.8999999999996</v>
      </c>
      <c r="L2513" s="607" t="s">
        <v>21</v>
      </c>
      <c r="M2513" s="30"/>
      <c r="N2513" s="30"/>
      <c r="O2513" s="287">
        <f t="shared" si="509"/>
        <v>0</v>
      </c>
      <c r="P2513" s="287">
        <f t="shared" si="510"/>
        <v>0</v>
      </c>
      <c r="Q2513" s="288"/>
      <c r="S2513" s="385" t="str">
        <f t="shared" si="506"/>
        <v/>
      </c>
    </row>
    <row r="2514" spans="2:19" ht="13.5" hidden="1" thickBot="1">
      <c r="B2514" s="609" t="s">
        <v>168</v>
      </c>
      <c r="C2514" s="610"/>
      <c r="D2514" s="611" t="s">
        <v>218</v>
      </c>
      <c r="E2514" s="602"/>
      <c r="F2514" s="603">
        <v>500</v>
      </c>
      <c r="G2514" s="604">
        <f>VLOOKUP(D2513,'ENSAIOS DE ORÇAMENTO'!$C$3:$L$79,4,FALSE)</f>
        <v>1.4740100000000003</v>
      </c>
      <c r="H2514" s="605">
        <f>IF(F2514&lt;=30,(0.51*F2514+4.28)*G2514,((0.51*30+4.28)+0.42*(F2514-30))*G2514)</f>
        <v>319.83068980000007</v>
      </c>
      <c r="I2514" s="675"/>
      <c r="J2514" s="675"/>
      <c r="K2514" s="606">
        <f t="shared" si="507"/>
        <v>0</v>
      </c>
      <c r="L2514" s="607"/>
      <c r="M2514" s="614"/>
      <c r="N2514" s="614"/>
      <c r="O2514" s="287">
        <f t="shared" si="509"/>
        <v>0</v>
      </c>
      <c r="P2514" s="287">
        <f t="shared" si="510"/>
        <v>0</v>
      </c>
      <c r="Q2514" s="288"/>
      <c r="R2514" s="315" t="str">
        <f>IF(P2513&gt;0,"xy","")</f>
        <v/>
      </c>
      <c r="S2514" s="385" t="str">
        <f t="shared" si="506"/>
        <v/>
      </c>
    </row>
    <row r="2515" spans="2:19" ht="13.5" hidden="1" thickBot="1">
      <c r="B2515" s="609" t="s">
        <v>168</v>
      </c>
      <c r="C2515" s="610"/>
      <c r="D2515" s="611" t="s">
        <v>256</v>
      </c>
      <c r="E2515" s="602"/>
      <c r="F2515" s="603">
        <v>180</v>
      </c>
      <c r="G2515" s="604">
        <f>VLOOKUP(D2513,'ENSAIOS DE ORÇAMENTO'!$C$3:$L$79,5,FALSE)</f>
        <v>6.0316799999999997</v>
      </c>
      <c r="H2515" s="605">
        <f>IF(F2515=0,0,IF(F2515&lt;=30,(0.7*F2515+1.45)*G2515,((0.7*30+1.45)+0.58*(F2515-30))*G2515))</f>
        <v>660.16737599999999</v>
      </c>
      <c r="I2515" s="675"/>
      <c r="J2515" s="675"/>
      <c r="K2515" s="606">
        <f t="shared" si="507"/>
        <v>0</v>
      </c>
      <c r="L2515" s="607"/>
      <c r="M2515" s="614"/>
      <c r="N2515" s="614"/>
      <c r="O2515" s="287">
        <f t="shared" si="509"/>
        <v>0</v>
      </c>
      <c r="P2515" s="287">
        <f t="shared" si="510"/>
        <v>0</v>
      </c>
      <c r="Q2515" s="288"/>
      <c r="R2515" s="315" t="str">
        <f>IF(P2513&gt;0,"xy","")</f>
        <v/>
      </c>
      <c r="S2515" s="385" t="str">
        <f t="shared" si="506"/>
        <v/>
      </c>
    </row>
    <row r="2516" spans="2:19" ht="13.5" hidden="1" thickBot="1">
      <c r="B2516" s="609" t="s">
        <v>168</v>
      </c>
      <c r="C2516" s="610"/>
      <c r="D2516" s="611" t="s">
        <v>260</v>
      </c>
      <c r="E2516" s="602"/>
      <c r="F2516" s="603">
        <v>20</v>
      </c>
      <c r="G2516" s="604">
        <f>VLOOKUP(D2513,'ENSAIOS DE ORÇAMENTO'!$C$3:$L$79,6,FALSE)</f>
        <v>11.634930000000001</v>
      </c>
      <c r="H2516" s="605">
        <f>IF(F2516=0,0,IF(F2516&lt;=30,(0.7*F2516+1.45)*G2516,((0.7*30+1.45)+0.58*(F2516-30))*G2516))</f>
        <v>179.7596685</v>
      </c>
      <c r="I2516" s="675"/>
      <c r="J2516" s="675"/>
      <c r="K2516" s="606">
        <f t="shared" si="507"/>
        <v>0</v>
      </c>
      <c r="L2516" s="607"/>
      <c r="M2516" s="614"/>
      <c r="N2516" s="614"/>
      <c r="O2516" s="287">
        <f t="shared" si="509"/>
        <v>0</v>
      </c>
      <c r="P2516" s="287">
        <f t="shared" si="510"/>
        <v>0</v>
      </c>
      <c r="Q2516" s="288"/>
      <c r="R2516" s="243" t="str">
        <f>IF(P2513&gt;0,"xy","")</f>
        <v/>
      </c>
      <c r="S2516" s="385" t="str">
        <f t="shared" si="506"/>
        <v/>
      </c>
    </row>
    <row r="2517" spans="2:19" ht="13.5" hidden="1" thickBot="1">
      <c r="B2517" s="609" t="s">
        <v>168</v>
      </c>
      <c r="C2517" s="610"/>
      <c r="D2517" s="611" t="s">
        <v>417</v>
      </c>
      <c r="E2517" s="602"/>
      <c r="F2517" s="603">
        <v>30</v>
      </c>
      <c r="G2517" s="604">
        <f>VLOOKUP(D2513,'ENSAIOS DE ORÇAMENTO'!$C$3:$L$79,3,FALSE)</f>
        <v>0</v>
      </c>
      <c r="H2517" s="605">
        <f>IF(F2517=0,0,IF(F2517&lt;=30,(0.7*F2517+1.45)*G2517,((0.7*30+1.45)+0.58*(F2517-30))*G2517))</f>
        <v>0</v>
      </c>
      <c r="I2517" s="675"/>
      <c r="J2517" s="675"/>
      <c r="K2517" s="606">
        <f t="shared" si="507"/>
        <v>0</v>
      </c>
      <c r="L2517" s="607"/>
      <c r="M2517" s="614"/>
      <c r="N2517" s="614"/>
      <c r="O2517" s="287">
        <f t="shared" si="509"/>
        <v>0</v>
      </c>
      <c r="P2517" s="287">
        <f t="shared" si="510"/>
        <v>0</v>
      </c>
      <c r="Q2517" s="288"/>
      <c r="R2517" s="315" t="str">
        <f>IF(P2513&gt;0,"xy","")</f>
        <v/>
      </c>
      <c r="S2517" s="385" t="str">
        <f t="shared" si="506"/>
        <v/>
      </c>
    </row>
    <row r="2518" spans="2:19" ht="13.5" hidden="1" thickBot="1">
      <c r="B2518" s="609" t="s">
        <v>168</v>
      </c>
      <c r="C2518" s="610"/>
      <c r="D2518" s="611" t="s">
        <v>418</v>
      </c>
      <c r="E2518" s="602"/>
      <c r="F2518" s="603">
        <v>500</v>
      </c>
      <c r="G2518" s="604">
        <f>VLOOKUP(D2513,'ENSAIOS DE ORÇAMENTO'!$C$3:$L$79,10,FALSE)</f>
        <v>0</v>
      </c>
      <c r="H2518" s="605">
        <f>IF(F2518=0,0,IF(F2518&lt;=30,(0.7*F2518+1.45)*G2518,((0.7*30+1.45)+0.58*(F2518-30))*G2518))</f>
        <v>0</v>
      </c>
      <c r="I2518" s="675"/>
      <c r="J2518" s="675"/>
      <c r="K2518" s="606">
        <f t="shared" si="507"/>
        <v>0</v>
      </c>
      <c r="L2518" s="607"/>
      <c r="M2518" s="614"/>
      <c r="N2518" s="614"/>
      <c r="O2518" s="287">
        <f t="shared" si="509"/>
        <v>0</v>
      </c>
      <c r="P2518" s="287">
        <f t="shared" si="510"/>
        <v>0</v>
      </c>
      <c r="Q2518" s="288"/>
      <c r="R2518" s="315" t="str">
        <f>IF(P2513&gt;0,"xy","")</f>
        <v/>
      </c>
      <c r="S2518" s="385" t="str">
        <f t="shared" si="506"/>
        <v/>
      </c>
    </row>
    <row r="2519" spans="2:19" ht="13.5" hidden="1" thickBot="1">
      <c r="B2519" s="609" t="s">
        <v>53</v>
      </c>
      <c r="C2519" s="610" t="s">
        <v>212</v>
      </c>
      <c r="D2519" s="611" t="s">
        <v>165</v>
      </c>
      <c r="E2519" s="602"/>
      <c r="F2519" s="603"/>
      <c r="G2519" s="604"/>
      <c r="H2519" s="605">
        <f>SUM(H2520:H2524)</f>
        <v>1915.4510731</v>
      </c>
      <c r="I2519" s="675">
        <f>VLOOKUP(D2519,'ENSAIOS DE ORÇAMENTO'!$C$3:$L$79,8,FALSE)</f>
        <v>4958.966253333334</v>
      </c>
      <c r="J2519" s="675">
        <f t="shared" ref="J2519" si="512">IF(ISBLANK(I2519),"",SUM(H2519:I2519))</f>
        <v>6874.417326433334</v>
      </c>
      <c r="K2519" s="606">
        <f t="shared" si="507"/>
        <v>8342.11</v>
      </c>
      <c r="L2519" s="607" t="s">
        <v>21</v>
      </c>
      <c r="M2519" s="30"/>
      <c r="N2519" s="30"/>
      <c r="O2519" s="287">
        <f t="shared" si="509"/>
        <v>0</v>
      </c>
      <c r="P2519" s="287">
        <f t="shared" si="510"/>
        <v>0</v>
      </c>
      <c r="Q2519" s="288"/>
      <c r="S2519" s="385" t="str">
        <f t="shared" si="506"/>
        <v/>
      </c>
    </row>
    <row r="2520" spans="2:19" ht="13.5" hidden="1" thickBot="1">
      <c r="B2520" s="609" t="s">
        <v>168</v>
      </c>
      <c r="C2520" s="610"/>
      <c r="D2520" s="611" t="s">
        <v>218</v>
      </c>
      <c r="E2520" s="602"/>
      <c r="F2520" s="603">
        <v>500</v>
      </c>
      <c r="G2520" s="604">
        <f>VLOOKUP(D2519,'ENSAIOS DE ORÇAMENTO'!$C$3:$L$79,4,FALSE)</f>
        <v>2.41967</v>
      </c>
      <c r="H2520" s="605">
        <f>IF(F2520&lt;=30,(0.51*F2520+4.28)*G2520,((0.51*30+4.28)+0.42*(F2520-30))*G2520)</f>
        <v>525.01999660000001</v>
      </c>
      <c r="I2520" s="675"/>
      <c r="J2520" s="675"/>
      <c r="K2520" s="606">
        <f t="shared" si="507"/>
        <v>0</v>
      </c>
      <c r="L2520" s="607"/>
      <c r="M2520" s="614"/>
      <c r="N2520" s="614"/>
      <c r="O2520" s="287">
        <f t="shared" si="509"/>
        <v>0</v>
      </c>
      <c r="P2520" s="287">
        <f t="shared" si="510"/>
        <v>0</v>
      </c>
      <c r="Q2520" s="288"/>
      <c r="R2520" s="315" t="str">
        <f>IF(P2519&gt;0,"xy","")</f>
        <v/>
      </c>
      <c r="S2520" s="385" t="str">
        <f t="shared" si="506"/>
        <v/>
      </c>
    </row>
    <row r="2521" spans="2:19" ht="13.5" hidden="1" thickBot="1">
      <c r="B2521" s="609" t="s">
        <v>168</v>
      </c>
      <c r="C2521" s="610"/>
      <c r="D2521" s="611" t="s">
        <v>256</v>
      </c>
      <c r="E2521" s="602"/>
      <c r="F2521" s="603">
        <v>180</v>
      </c>
      <c r="G2521" s="604">
        <f>VLOOKUP(D2519,'ENSAIOS DE ORÇAMENTO'!$C$3:$L$79,5,FALSE)</f>
        <v>9.9546600000000005</v>
      </c>
      <c r="H2521" s="605">
        <f>IF(F2521=0,0,IF(F2521&lt;=30,(0.7*F2521+1.45)*G2521,((0.7*30+1.45)+0.58*(F2521-30))*G2521))</f>
        <v>1089.5375370000002</v>
      </c>
      <c r="I2521" s="675"/>
      <c r="J2521" s="675"/>
      <c r="K2521" s="606">
        <f t="shared" si="507"/>
        <v>0</v>
      </c>
      <c r="L2521" s="607"/>
      <c r="M2521" s="614"/>
      <c r="N2521" s="614"/>
      <c r="O2521" s="287">
        <f t="shared" si="509"/>
        <v>0</v>
      </c>
      <c r="P2521" s="287">
        <f t="shared" si="510"/>
        <v>0</v>
      </c>
      <c r="Q2521" s="288"/>
      <c r="R2521" s="315" t="str">
        <f>IF(P2519&gt;0,"xy","")</f>
        <v/>
      </c>
      <c r="S2521" s="385" t="str">
        <f t="shared" si="506"/>
        <v/>
      </c>
    </row>
    <row r="2522" spans="2:19" ht="13.5" hidden="1" thickBot="1">
      <c r="B2522" s="609" t="s">
        <v>168</v>
      </c>
      <c r="C2522" s="610"/>
      <c r="D2522" s="611" t="s">
        <v>260</v>
      </c>
      <c r="E2522" s="602"/>
      <c r="F2522" s="603">
        <v>20</v>
      </c>
      <c r="G2522" s="604">
        <f>VLOOKUP(D2519,'ENSAIOS DE ORÇAMENTO'!$C$3:$L$79,6,FALSE)</f>
        <v>19.47531</v>
      </c>
      <c r="H2522" s="605">
        <f>IF(F2522=0,0,IF(F2522&lt;=30,(0.7*F2522+1.45)*G2522,((0.7*30+1.45)+0.58*(F2522-30))*G2522))</f>
        <v>300.89353949999997</v>
      </c>
      <c r="I2522" s="675"/>
      <c r="J2522" s="675"/>
      <c r="K2522" s="606">
        <f t="shared" si="507"/>
        <v>0</v>
      </c>
      <c r="L2522" s="607"/>
      <c r="M2522" s="614"/>
      <c r="N2522" s="614"/>
      <c r="O2522" s="287">
        <f t="shared" si="509"/>
        <v>0</v>
      </c>
      <c r="P2522" s="287">
        <f t="shared" si="510"/>
        <v>0</v>
      </c>
      <c r="Q2522" s="288"/>
      <c r="R2522" s="243" t="str">
        <f>IF(P2519&gt;0,"xy","")</f>
        <v/>
      </c>
      <c r="S2522" s="385" t="str">
        <f t="shared" si="506"/>
        <v/>
      </c>
    </row>
    <row r="2523" spans="2:19" ht="13.5" hidden="1" thickBot="1">
      <c r="B2523" s="609" t="s">
        <v>168</v>
      </c>
      <c r="C2523" s="610"/>
      <c r="D2523" s="611" t="s">
        <v>417</v>
      </c>
      <c r="E2523" s="602"/>
      <c r="F2523" s="603">
        <v>30</v>
      </c>
      <c r="G2523" s="604">
        <f>VLOOKUP(D2519,'ENSAIOS DE ORÇAMENTO'!$C$3:$L$79,3,FALSE)</f>
        <v>0</v>
      </c>
      <c r="H2523" s="605">
        <f>IF(F2523=0,0,IF(F2523&lt;=30,(0.7*F2523+1.45)*G2523,((0.7*30+1.45)+0.58*(F2523-30))*G2523))</f>
        <v>0</v>
      </c>
      <c r="I2523" s="675"/>
      <c r="J2523" s="675"/>
      <c r="K2523" s="606">
        <f t="shared" si="507"/>
        <v>0</v>
      </c>
      <c r="L2523" s="607"/>
      <c r="M2523" s="614"/>
      <c r="N2523" s="614"/>
      <c r="O2523" s="287">
        <f t="shared" si="509"/>
        <v>0</v>
      </c>
      <c r="P2523" s="287">
        <f t="shared" si="510"/>
        <v>0</v>
      </c>
      <c r="Q2523" s="288"/>
      <c r="R2523" s="315" t="str">
        <f>IF(P2519&gt;0,"xy","")</f>
        <v/>
      </c>
      <c r="S2523" s="385" t="str">
        <f t="shared" si="506"/>
        <v/>
      </c>
    </row>
    <row r="2524" spans="2:19" ht="13.5" hidden="1" thickBot="1">
      <c r="B2524" s="609" t="s">
        <v>168</v>
      </c>
      <c r="C2524" s="610"/>
      <c r="D2524" s="611" t="s">
        <v>418</v>
      </c>
      <c r="E2524" s="602"/>
      <c r="F2524" s="603">
        <v>500</v>
      </c>
      <c r="G2524" s="604">
        <f>VLOOKUP(D2519,'ENSAIOS DE ORÇAMENTO'!$C$3:$L$79,10,FALSE)</f>
        <v>0</v>
      </c>
      <c r="H2524" s="605">
        <f>IF(F2524=0,0,IF(F2524&lt;=30,(0.7*F2524+1.45)*G2524,((0.7*30+1.45)+0.58*(F2524-30))*G2524))</f>
        <v>0</v>
      </c>
      <c r="I2524" s="675"/>
      <c r="J2524" s="675"/>
      <c r="K2524" s="606">
        <f t="shared" si="507"/>
        <v>0</v>
      </c>
      <c r="L2524" s="607"/>
      <c r="M2524" s="614"/>
      <c r="N2524" s="614"/>
      <c r="O2524" s="287">
        <f t="shared" si="509"/>
        <v>0</v>
      </c>
      <c r="P2524" s="287">
        <f t="shared" si="510"/>
        <v>0</v>
      </c>
      <c r="Q2524" s="288"/>
      <c r="R2524" s="315" t="str">
        <f>IF(P2519&gt;0,"xy","")</f>
        <v/>
      </c>
      <c r="S2524" s="385" t="str">
        <f t="shared" si="506"/>
        <v/>
      </c>
    </row>
    <row r="2525" spans="2:19" ht="13.5" hidden="1" thickBot="1">
      <c r="B2525" s="609" t="s">
        <v>445</v>
      </c>
      <c r="C2525" s="610" t="s">
        <v>212</v>
      </c>
      <c r="D2525" s="611" t="str">
        <f>'ENSAIOS DE ORÇAMENTO'!C70</f>
        <v>ENSAIO DE ORÇAMENTO 1</v>
      </c>
      <c r="E2525" s="602"/>
      <c r="F2525" s="603"/>
      <c r="G2525" s="604"/>
      <c r="H2525" s="605">
        <f>SUM(H2526:H2530)</f>
        <v>0</v>
      </c>
      <c r="I2525" s="675">
        <f>VLOOKUP(D2525,'ENSAIOS DE ORÇAMENTO'!$C$3:$L$79,8,FALSE)</f>
        <v>0</v>
      </c>
      <c r="J2525" s="675">
        <f t="shared" ref="J2525" si="513">IF(ISBLANK(I2525),"",SUM(H2525:I2525))</f>
        <v>0</v>
      </c>
      <c r="K2525" s="606">
        <f t="shared" si="507"/>
        <v>0</v>
      </c>
      <c r="L2525" s="607"/>
      <c r="M2525" s="30"/>
      <c r="N2525" s="30"/>
      <c r="O2525" s="287">
        <f t="shared" si="509"/>
        <v>0</v>
      </c>
      <c r="P2525" s="287">
        <f t="shared" si="510"/>
        <v>0</v>
      </c>
      <c r="Q2525" s="288"/>
      <c r="S2525" s="385" t="str">
        <f t="shared" si="506"/>
        <v/>
      </c>
    </row>
    <row r="2526" spans="2:19" ht="13.5" hidden="1" thickBot="1">
      <c r="B2526" s="609" t="s">
        <v>168</v>
      </c>
      <c r="C2526" s="610"/>
      <c r="D2526" s="648" t="s">
        <v>218</v>
      </c>
      <c r="E2526" s="602"/>
      <c r="F2526" s="603">
        <v>500</v>
      </c>
      <c r="G2526" s="604">
        <f>VLOOKUP(D2525,'ENSAIOS DE ORÇAMENTO'!$C$3:$L$79,4,FALSE)</f>
        <v>0</v>
      </c>
      <c r="H2526" s="605">
        <f>IF(F2526&lt;=30,(0.51*F2526+4.28)*G2526,((0.51*30+4.28)+0.42*(F2526-30))*G2526)</f>
        <v>0</v>
      </c>
      <c r="I2526" s="675"/>
      <c r="J2526" s="675" t="str">
        <f t="shared" ref="J2526:J2530" si="514">IF(ISBLANK(I2526),"",SUM(H2526:I2526))</f>
        <v/>
      </c>
      <c r="K2526" s="606">
        <f t="shared" si="507"/>
        <v>0</v>
      </c>
      <c r="L2526" s="716"/>
      <c r="M2526" s="429"/>
      <c r="N2526" s="430"/>
      <c r="O2526" s="287">
        <f t="shared" si="509"/>
        <v>0</v>
      </c>
      <c r="P2526" s="287">
        <f t="shared" si="510"/>
        <v>0</v>
      </c>
      <c r="Q2526" s="288"/>
      <c r="R2526" s="315" t="str">
        <f>IF(P2525&gt;0,"xy","")</f>
        <v/>
      </c>
      <c r="S2526" s="385" t="str">
        <f t="shared" si="506"/>
        <v/>
      </c>
    </row>
    <row r="2527" spans="2:19" ht="13.5" hidden="1" thickBot="1">
      <c r="B2527" s="609" t="s">
        <v>168</v>
      </c>
      <c r="C2527" s="610"/>
      <c r="D2527" s="648" t="s">
        <v>256</v>
      </c>
      <c r="E2527" s="602"/>
      <c r="F2527" s="603">
        <v>180</v>
      </c>
      <c r="G2527" s="604">
        <f>VLOOKUP(D2525,'ENSAIOS DE ORÇAMENTO'!$C$3:$L$79,5,FALSE)</f>
        <v>0</v>
      </c>
      <c r="H2527" s="605">
        <f>IF(F2527=0,0,IF(F2527&lt;=30,(0.7*F2527+1.45)*G2527,((0.7*30+1.45)+0.58*(F2527-30))*G2527))</f>
        <v>0</v>
      </c>
      <c r="I2527" s="675"/>
      <c r="J2527" s="675" t="str">
        <f t="shared" si="514"/>
        <v/>
      </c>
      <c r="K2527" s="606">
        <f t="shared" si="507"/>
        <v>0</v>
      </c>
      <c r="L2527" s="716"/>
      <c r="M2527" s="429"/>
      <c r="N2527" s="430"/>
      <c r="O2527" s="287">
        <f t="shared" si="509"/>
        <v>0</v>
      </c>
      <c r="P2527" s="287">
        <f t="shared" si="510"/>
        <v>0</v>
      </c>
      <c r="Q2527" s="288"/>
      <c r="R2527" s="315" t="str">
        <f>IF(P2525&gt;0,"xy","")</f>
        <v/>
      </c>
      <c r="S2527" s="385" t="str">
        <f t="shared" si="506"/>
        <v/>
      </c>
    </row>
    <row r="2528" spans="2:19" ht="13.5" hidden="1" thickBot="1">
      <c r="B2528" s="609" t="s">
        <v>168</v>
      </c>
      <c r="C2528" s="610"/>
      <c r="D2528" s="648" t="s">
        <v>260</v>
      </c>
      <c r="E2528" s="602"/>
      <c r="F2528" s="603">
        <v>20</v>
      </c>
      <c r="G2528" s="604">
        <f>VLOOKUP(D2525,'ENSAIOS DE ORÇAMENTO'!$C$3:$L$79,6,FALSE)</f>
        <v>0</v>
      </c>
      <c r="H2528" s="605">
        <f>IF(F2528=0,0,IF(F2528&lt;=30,(0.7*F2528+1.45)*G2528,((0.7*30+1.45)+0.58*(F2528-30))*G2528))</f>
        <v>0</v>
      </c>
      <c r="I2528" s="675"/>
      <c r="J2528" s="675" t="str">
        <f t="shared" si="514"/>
        <v/>
      </c>
      <c r="K2528" s="606">
        <f t="shared" si="507"/>
        <v>0</v>
      </c>
      <c r="L2528" s="716"/>
      <c r="M2528" s="429"/>
      <c r="N2528" s="430"/>
      <c r="O2528" s="287">
        <f t="shared" si="509"/>
        <v>0</v>
      </c>
      <c r="P2528" s="287">
        <f t="shared" si="510"/>
        <v>0</v>
      </c>
      <c r="Q2528" s="288"/>
      <c r="R2528" s="243" t="str">
        <f>IF(P2525&gt;0,"xy","")</f>
        <v/>
      </c>
      <c r="S2528" s="385" t="str">
        <f t="shared" si="506"/>
        <v/>
      </c>
    </row>
    <row r="2529" spans="2:19" ht="13.5" hidden="1" thickBot="1">
      <c r="B2529" s="609" t="s">
        <v>168</v>
      </c>
      <c r="C2529" s="610"/>
      <c r="D2529" s="648" t="s">
        <v>417</v>
      </c>
      <c r="E2529" s="602"/>
      <c r="F2529" s="603">
        <v>30</v>
      </c>
      <c r="G2529" s="604">
        <f>VLOOKUP(D2525,'ENSAIOS DE ORÇAMENTO'!$C$3:$L$79,3,FALSE)</f>
        <v>0</v>
      </c>
      <c r="H2529" s="605">
        <f>IF(F2529=0,0,IF(F2529&lt;=30,(0.7*F2529+1.45)*G2529,((0.7*30+1.45)+0.58*(F2529-30))*G2529))</f>
        <v>0</v>
      </c>
      <c r="I2529" s="675"/>
      <c r="J2529" s="675" t="str">
        <f t="shared" si="514"/>
        <v/>
      </c>
      <c r="K2529" s="606">
        <f t="shared" si="507"/>
        <v>0</v>
      </c>
      <c r="L2529" s="716"/>
      <c r="M2529" s="429"/>
      <c r="N2529" s="430"/>
      <c r="O2529" s="287">
        <f t="shared" si="509"/>
        <v>0</v>
      </c>
      <c r="P2529" s="287">
        <f t="shared" si="510"/>
        <v>0</v>
      </c>
      <c r="Q2529" s="288"/>
      <c r="R2529" s="315" t="str">
        <f>IF(P2525&gt;0,"xy","")</f>
        <v/>
      </c>
      <c r="S2529" s="385" t="str">
        <f t="shared" si="506"/>
        <v/>
      </c>
    </row>
    <row r="2530" spans="2:19" ht="13.5" hidden="1" thickBot="1">
      <c r="B2530" s="609" t="s">
        <v>168</v>
      </c>
      <c r="C2530" s="610"/>
      <c r="D2530" s="648" t="s">
        <v>418</v>
      </c>
      <c r="E2530" s="602"/>
      <c r="F2530" s="603">
        <v>500</v>
      </c>
      <c r="G2530" s="604">
        <f>VLOOKUP(D2525,'ENSAIOS DE ORÇAMENTO'!$C$3:$L$79,10,FALSE)</f>
        <v>0</v>
      </c>
      <c r="H2530" s="605">
        <f>IF(F2530=0,0,IF(F2530&lt;=30,(0.7*F2530+1.45)*G2530,((0.7*30+1.45)+0.58*(F2530-30))*G2530))</f>
        <v>0</v>
      </c>
      <c r="I2530" s="675"/>
      <c r="J2530" s="675" t="str">
        <f t="shared" si="514"/>
        <v/>
      </c>
      <c r="K2530" s="606">
        <f t="shared" si="507"/>
        <v>0</v>
      </c>
      <c r="L2530" s="716"/>
      <c r="M2530" s="429"/>
      <c r="N2530" s="430"/>
      <c r="O2530" s="287">
        <f t="shared" si="509"/>
        <v>0</v>
      </c>
      <c r="P2530" s="287">
        <f t="shared" si="510"/>
        <v>0</v>
      </c>
      <c r="Q2530" s="288"/>
      <c r="R2530" s="315" t="str">
        <f>IF(P2525&gt;0,"xy","")</f>
        <v/>
      </c>
      <c r="S2530" s="385" t="str">
        <f t="shared" si="506"/>
        <v/>
      </c>
    </row>
    <row r="2531" spans="2:19" ht="13.5" hidden="1" thickBot="1">
      <c r="B2531" s="609" t="s">
        <v>446</v>
      </c>
      <c r="C2531" s="610" t="s">
        <v>212</v>
      </c>
      <c r="D2531" s="611" t="str">
        <f>'ENSAIOS DE ORÇAMENTO'!C71</f>
        <v>ENSAIO DE ORÇAMENTO 2</v>
      </c>
      <c r="E2531" s="602"/>
      <c r="F2531" s="603"/>
      <c r="G2531" s="604"/>
      <c r="H2531" s="605">
        <f>SUM(H2532:H2536)</f>
        <v>0</v>
      </c>
      <c r="I2531" s="675">
        <f>VLOOKUP(D2531,'ENSAIOS DE ORÇAMENTO'!$C$3:$L$79,8,FALSE)</f>
        <v>0</v>
      </c>
      <c r="J2531" s="675">
        <f t="shared" ref="J2531" si="515">IF(ISBLANK(I2531),"",SUM(H2531:I2531))</f>
        <v>0</v>
      </c>
      <c r="K2531" s="606">
        <f t="shared" si="507"/>
        <v>0</v>
      </c>
      <c r="L2531" s="607"/>
      <c r="M2531" s="30"/>
      <c r="N2531" s="30"/>
      <c r="O2531" s="287">
        <f t="shared" si="509"/>
        <v>0</v>
      </c>
      <c r="P2531" s="287">
        <f t="shared" si="510"/>
        <v>0</v>
      </c>
      <c r="Q2531" s="288"/>
      <c r="S2531" s="385" t="str">
        <f t="shared" si="506"/>
        <v/>
      </c>
    </row>
    <row r="2532" spans="2:19" ht="13.5" hidden="1" thickBot="1">
      <c r="B2532" s="609" t="s">
        <v>168</v>
      </c>
      <c r="C2532" s="610"/>
      <c r="D2532" s="648" t="s">
        <v>218</v>
      </c>
      <c r="E2532" s="602"/>
      <c r="F2532" s="603">
        <v>500</v>
      </c>
      <c r="G2532" s="604">
        <f>VLOOKUP(D2531,'ENSAIOS DE ORÇAMENTO'!$C$3:$L$79,4,FALSE)</f>
        <v>0</v>
      </c>
      <c r="H2532" s="605">
        <f>IF(F2532&lt;=30,(0.51*F2532+4.28)*G2532,((0.51*30+4.28)+0.42*(F2532-30))*G2532)</f>
        <v>0</v>
      </c>
      <c r="I2532" s="675"/>
      <c r="J2532" s="675" t="str">
        <f t="shared" ref="J2532:J2536" si="516">IF(ISBLANK(I2532),"",SUM(H2532:I2532))</f>
        <v/>
      </c>
      <c r="K2532" s="606">
        <f t="shared" si="507"/>
        <v>0</v>
      </c>
      <c r="L2532" s="716"/>
      <c r="M2532" s="429"/>
      <c r="N2532" s="430"/>
      <c r="O2532" s="287">
        <f t="shared" si="509"/>
        <v>0</v>
      </c>
      <c r="P2532" s="287">
        <f t="shared" si="510"/>
        <v>0</v>
      </c>
      <c r="Q2532" s="288"/>
      <c r="R2532" s="315" t="str">
        <f>IF(P2531&gt;0,"xy","")</f>
        <v/>
      </c>
      <c r="S2532" s="385" t="str">
        <f t="shared" si="506"/>
        <v/>
      </c>
    </row>
    <row r="2533" spans="2:19" ht="13.5" hidden="1" thickBot="1">
      <c r="B2533" s="609" t="s">
        <v>168</v>
      </c>
      <c r="C2533" s="610"/>
      <c r="D2533" s="648" t="s">
        <v>256</v>
      </c>
      <c r="E2533" s="602"/>
      <c r="F2533" s="603">
        <v>180</v>
      </c>
      <c r="G2533" s="604">
        <f>VLOOKUP(D2531,'ENSAIOS DE ORÇAMENTO'!$C$3:$L$79,5,FALSE)</f>
        <v>0</v>
      </c>
      <c r="H2533" s="605">
        <f>IF(F2533=0,0,IF(F2533&lt;=30,(0.7*F2533+1.45)*G2533,((0.7*30+1.45)+0.58*(F2533-30))*G2533))</f>
        <v>0</v>
      </c>
      <c r="I2533" s="675"/>
      <c r="J2533" s="675" t="str">
        <f t="shared" si="516"/>
        <v/>
      </c>
      <c r="K2533" s="606">
        <f t="shared" si="507"/>
        <v>0</v>
      </c>
      <c r="L2533" s="716"/>
      <c r="M2533" s="429"/>
      <c r="N2533" s="430"/>
      <c r="O2533" s="287">
        <f t="shared" si="509"/>
        <v>0</v>
      </c>
      <c r="P2533" s="287">
        <f t="shared" si="510"/>
        <v>0</v>
      </c>
      <c r="Q2533" s="288"/>
      <c r="R2533" s="315" t="str">
        <f>IF(P2531&gt;0,"xy","")</f>
        <v/>
      </c>
      <c r="S2533" s="385" t="str">
        <f t="shared" si="506"/>
        <v/>
      </c>
    </row>
    <row r="2534" spans="2:19" ht="13.5" hidden="1" thickBot="1">
      <c r="B2534" s="609" t="s">
        <v>168</v>
      </c>
      <c r="C2534" s="610"/>
      <c r="D2534" s="648" t="s">
        <v>260</v>
      </c>
      <c r="E2534" s="602"/>
      <c r="F2534" s="603">
        <v>20</v>
      </c>
      <c r="G2534" s="604">
        <f>VLOOKUP(D2531,'ENSAIOS DE ORÇAMENTO'!$C$3:$L$79,6,FALSE)</f>
        <v>0</v>
      </c>
      <c r="H2534" s="605">
        <f>IF(F2534=0,0,IF(F2534&lt;=30,(0.7*F2534+1.45)*G2534,((0.7*30+1.45)+0.58*(F2534-30))*G2534))</f>
        <v>0</v>
      </c>
      <c r="I2534" s="675"/>
      <c r="J2534" s="675" t="str">
        <f t="shared" si="516"/>
        <v/>
      </c>
      <c r="K2534" s="606">
        <f t="shared" si="507"/>
        <v>0</v>
      </c>
      <c r="L2534" s="716"/>
      <c r="M2534" s="429"/>
      <c r="N2534" s="430"/>
      <c r="O2534" s="287">
        <f t="shared" si="509"/>
        <v>0</v>
      </c>
      <c r="P2534" s="287">
        <f t="shared" si="510"/>
        <v>0</v>
      </c>
      <c r="Q2534" s="288"/>
      <c r="R2534" s="243" t="str">
        <f>IF(P2531&gt;0,"xy","")</f>
        <v/>
      </c>
      <c r="S2534" s="385" t="str">
        <f t="shared" si="506"/>
        <v/>
      </c>
    </row>
    <row r="2535" spans="2:19" ht="13.5" hidden="1" thickBot="1">
      <c r="B2535" s="609" t="s">
        <v>168</v>
      </c>
      <c r="C2535" s="610"/>
      <c r="D2535" s="648" t="s">
        <v>417</v>
      </c>
      <c r="E2535" s="602"/>
      <c r="F2535" s="603">
        <v>30</v>
      </c>
      <c r="G2535" s="604">
        <f>VLOOKUP(D2531,'ENSAIOS DE ORÇAMENTO'!$C$3:$L$79,3,FALSE)</f>
        <v>0</v>
      </c>
      <c r="H2535" s="605">
        <f>IF(F2535=0,0,IF(F2535&lt;=30,(0.7*F2535+1.45)*G2535,((0.7*30+1.45)+0.58*(F2535-30))*G2535))</f>
        <v>0</v>
      </c>
      <c r="I2535" s="675"/>
      <c r="J2535" s="675" t="str">
        <f t="shared" si="516"/>
        <v/>
      </c>
      <c r="K2535" s="606">
        <f t="shared" si="507"/>
        <v>0</v>
      </c>
      <c r="L2535" s="716"/>
      <c r="M2535" s="429"/>
      <c r="N2535" s="430"/>
      <c r="O2535" s="287">
        <f t="shared" si="509"/>
        <v>0</v>
      </c>
      <c r="P2535" s="287">
        <f t="shared" si="510"/>
        <v>0</v>
      </c>
      <c r="Q2535" s="288"/>
      <c r="R2535" s="315" t="str">
        <f>IF(P2531&gt;0,"xy","")</f>
        <v/>
      </c>
      <c r="S2535" s="385" t="str">
        <f t="shared" si="506"/>
        <v/>
      </c>
    </row>
    <row r="2536" spans="2:19" ht="13.5" hidden="1" thickBot="1">
      <c r="B2536" s="609" t="s">
        <v>168</v>
      </c>
      <c r="C2536" s="610"/>
      <c r="D2536" s="648" t="s">
        <v>418</v>
      </c>
      <c r="E2536" s="602"/>
      <c r="F2536" s="603">
        <v>500</v>
      </c>
      <c r="G2536" s="604">
        <f>VLOOKUP(D2531,'ENSAIOS DE ORÇAMENTO'!$C$3:$L$79,10,FALSE)</f>
        <v>0</v>
      </c>
      <c r="H2536" s="605">
        <f>IF(F2536=0,0,IF(F2536&lt;=30,(0.7*F2536+1.45)*G2536,((0.7*30+1.45)+0.58*(F2536-30))*G2536))</f>
        <v>0</v>
      </c>
      <c r="I2536" s="675"/>
      <c r="J2536" s="675" t="str">
        <f t="shared" si="516"/>
        <v/>
      </c>
      <c r="K2536" s="606">
        <f t="shared" si="507"/>
        <v>0</v>
      </c>
      <c r="L2536" s="716"/>
      <c r="M2536" s="429"/>
      <c r="N2536" s="430"/>
      <c r="O2536" s="287">
        <f t="shared" si="509"/>
        <v>0</v>
      </c>
      <c r="P2536" s="287">
        <f t="shared" si="510"/>
        <v>0</v>
      </c>
      <c r="Q2536" s="288"/>
      <c r="R2536" s="315" t="str">
        <f>IF(P2531&gt;0,"xy","")</f>
        <v/>
      </c>
      <c r="S2536" s="385" t="str">
        <f t="shared" si="506"/>
        <v/>
      </c>
    </row>
    <row r="2537" spans="2:19" ht="13.5" hidden="1" thickBot="1">
      <c r="B2537" s="609" t="s">
        <v>447</v>
      </c>
      <c r="C2537" s="610" t="s">
        <v>212</v>
      </c>
      <c r="D2537" s="611" t="str">
        <f>'ENSAIOS DE ORÇAMENTO'!C72</f>
        <v>ENSAIO DE ORÇAMENTO 3</v>
      </c>
      <c r="E2537" s="602"/>
      <c r="F2537" s="603"/>
      <c r="G2537" s="604"/>
      <c r="H2537" s="605">
        <f>SUM(H2538:H2542)</f>
        <v>0</v>
      </c>
      <c r="I2537" s="675">
        <f>VLOOKUP(D2537,'ENSAIOS DE ORÇAMENTO'!$C$3:$L$79,8,FALSE)</f>
        <v>0</v>
      </c>
      <c r="J2537" s="675">
        <f t="shared" ref="J2537" si="517">IF(ISBLANK(I2537),"",SUM(H2537:I2537))</f>
        <v>0</v>
      </c>
      <c r="K2537" s="606">
        <f t="shared" si="507"/>
        <v>0</v>
      </c>
      <c r="L2537" s="607"/>
      <c r="M2537" s="30"/>
      <c r="N2537" s="30"/>
      <c r="O2537" s="287">
        <f t="shared" si="509"/>
        <v>0</v>
      </c>
      <c r="P2537" s="287">
        <f t="shared" si="510"/>
        <v>0</v>
      </c>
      <c r="Q2537" s="288"/>
      <c r="S2537" s="385" t="str">
        <f t="shared" si="506"/>
        <v/>
      </c>
    </row>
    <row r="2538" spans="2:19" ht="13.5" hidden="1" thickBot="1">
      <c r="B2538" s="609" t="s">
        <v>168</v>
      </c>
      <c r="C2538" s="610"/>
      <c r="D2538" s="648" t="s">
        <v>218</v>
      </c>
      <c r="E2538" s="602"/>
      <c r="F2538" s="603">
        <v>500</v>
      </c>
      <c r="G2538" s="604">
        <f>VLOOKUP(D2537,'ENSAIOS DE ORÇAMENTO'!$C$3:$L$79,4,FALSE)</f>
        <v>0</v>
      </c>
      <c r="H2538" s="605">
        <f>IF(F2538&lt;=30,(0.51*F2538+4.28)*G2538,((0.51*30+4.28)+0.42*(F2538-30))*G2538)</f>
        <v>0</v>
      </c>
      <c r="I2538" s="675"/>
      <c r="J2538" s="675" t="str">
        <f t="shared" ref="J2538:J2542" si="518">IF(ISBLANK(I2538),"",SUM(H2538:I2538))</f>
        <v/>
      </c>
      <c r="K2538" s="606">
        <f t="shared" si="507"/>
        <v>0</v>
      </c>
      <c r="L2538" s="716"/>
      <c r="M2538" s="429"/>
      <c r="N2538" s="430"/>
      <c r="O2538" s="287">
        <f t="shared" si="509"/>
        <v>0</v>
      </c>
      <c r="P2538" s="287">
        <f t="shared" si="510"/>
        <v>0</v>
      </c>
      <c r="Q2538" s="288"/>
      <c r="R2538" s="315" t="str">
        <f>IF(P2537&gt;0,"xy","")</f>
        <v/>
      </c>
      <c r="S2538" s="385" t="str">
        <f t="shared" si="506"/>
        <v/>
      </c>
    </row>
    <row r="2539" spans="2:19" ht="13.5" hidden="1" thickBot="1">
      <c r="B2539" s="609" t="s">
        <v>168</v>
      </c>
      <c r="C2539" s="610"/>
      <c r="D2539" s="648" t="s">
        <v>256</v>
      </c>
      <c r="E2539" s="602"/>
      <c r="F2539" s="603">
        <v>180</v>
      </c>
      <c r="G2539" s="604">
        <f>VLOOKUP(D2537,'ENSAIOS DE ORÇAMENTO'!$C$3:$L$79,5,FALSE)</f>
        <v>0</v>
      </c>
      <c r="H2539" s="605">
        <f>IF(F2539=0,0,IF(F2539&lt;=30,(0.7*F2539+1.45)*G2539,((0.7*30+1.45)+0.58*(F2539-30))*G2539))</f>
        <v>0</v>
      </c>
      <c r="I2539" s="675"/>
      <c r="J2539" s="675" t="str">
        <f t="shared" si="518"/>
        <v/>
      </c>
      <c r="K2539" s="606">
        <f t="shared" si="507"/>
        <v>0</v>
      </c>
      <c r="L2539" s="716"/>
      <c r="M2539" s="429"/>
      <c r="N2539" s="430"/>
      <c r="O2539" s="287">
        <f t="shared" si="509"/>
        <v>0</v>
      </c>
      <c r="P2539" s="287">
        <f t="shared" si="510"/>
        <v>0</v>
      </c>
      <c r="Q2539" s="288"/>
      <c r="R2539" s="315" t="str">
        <f>IF(P2537&gt;0,"xy","")</f>
        <v/>
      </c>
      <c r="S2539" s="385" t="str">
        <f t="shared" si="506"/>
        <v/>
      </c>
    </row>
    <row r="2540" spans="2:19" ht="13.5" hidden="1" thickBot="1">
      <c r="B2540" s="609" t="s">
        <v>168</v>
      </c>
      <c r="C2540" s="610"/>
      <c r="D2540" s="648" t="s">
        <v>260</v>
      </c>
      <c r="E2540" s="602"/>
      <c r="F2540" s="603">
        <v>20</v>
      </c>
      <c r="G2540" s="604">
        <f>VLOOKUP(D2537,'ENSAIOS DE ORÇAMENTO'!$C$3:$L$79,6,FALSE)</f>
        <v>0</v>
      </c>
      <c r="H2540" s="605">
        <f>IF(F2540=0,0,IF(F2540&lt;=30,(0.7*F2540+1.45)*G2540,((0.7*30+1.45)+0.58*(F2540-30))*G2540))</f>
        <v>0</v>
      </c>
      <c r="I2540" s="675"/>
      <c r="J2540" s="675" t="str">
        <f t="shared" si="518"/>
        <v/>
      </c>
      <c r="K2540" s="606">
        <f t="shared" si="507"/>
        <v>0</v>
      </c>
      <c r="L2540" s="716"/>
      <c r="M2540" s="429"/>
      <c r="N2540" s="430"/>
      <c r="O2540" s="287">
        <f t="shared" si="509"/>
        <v>0</v>
      </c>
      <c r="P2540" s="287">
        <f t="shared" si="510"/>
        <v>0</v>
      </c>
      <c r="Q2540" s="288"/>
      <c r="R2540" s="243" t="str">
        <f>IF(P2537&gt;0,"xy","")</f>
        <v/>
      </c>
      <c r="S2540" s="385" t="str">
        <f t="shared" si="506"/>
        <v/>
      </c>
    </row>
    <row r="2541" spans="2:19" ht="13.5" hidden="1" thickBot="1">
      <c r="B2541" s="609" t="s">
        <v>168</v>
      </c>
      <c r="C2541" s="610"/>
      <c r="D2541" s="648" t="s">
        <v>417</v>
      </c>
      <c r="E2541" s="602"/>
      <c r="F2541" s="603">
        <v>30</v>
      </c>
      <c r="G2541" s="604">
        <f>VLOOKUP(D2537,'ENSAIOS DE ORÇAMENTO'!$C$3:$L$79,3,FALSE)</f>
        <v>0</v>
      </c>
      <c r="H2541" s="605">
        <f>IF(F2541=0,0,IF(F2541&lt;=30,(0.7*F2541+1.45)*G2541,((0.7*30+1.45)+0.58*(F2541-30))*G2541))</f>
        <v>0</v>
      </c>
      <c r="I2541" s="675"/>
      <c r="J2541" s="675" t="str">
        <f t="shared" si="518"/>
        <v/>
      </c>
      <c r="K2541" s="606">
        <f t="shared" si="507"/>
        <v>0</v>
      </c>
      <c r="L2541" s="716"/>
      <c r="M2541" s="429"/>
      <c r="N2541" s="430"/>
      <c r="O2541" s="287">
        <f t="shared" si="509"/>
        <v>0</v>
      </c>
      <c r="P2541" s="287">
        <f t="shared" si="510"/>
        <v>0</v>
      </c>
      <c r="Q2541" s="288"/>
      <c r="R2541" s="315" t="str">
        <f>IF(P2537&gt;0,"xy","")</f>
        <v/>
      </c>
      <c r="S2541" s="385" t="str">
        <f t="shared" si="506"/>
        <v/>
      </c>
    </row>
    <row r="2542" spans="2:19" ht="13.5" hidden="1" thickBot="1">
      <c r="B2542" s="609" t="s">
        <v>168</v>
      </c>
      <c r="C2542" s="610"/>
      <c r="D2542" s="648" t="s">
        <v>418</v>
      </c>
      <c r="E2542" s="602"/>
      <c r="F2542" s="603">
        <v>500</v>
      </c>
      <c r="G2542" s="604">
        <f>VLOOKUP(D2537,'ENSAIOS DE ORÇAMENTO'!$C$3:$L$79,10,FALSE)</f>
        <v>0</v>
      </c>
      <c r="H2542" s="605">
        <f>IF(F2542=0,0,IF(F2542&lt;=30,(0.7*F2542+1.45)*G2542,((0.7*30+1.45)+0.58*(F2542-30))*G2542))</f>
        <v>0</v>
      </c>
      <c r="I2542" s="675"/>
      <c r="J2542" s="675" t="str">
        <f t="shared" si="518"/>
        <v/>
      </c>
      <c r="K2542" s="606">
        <f t="shared" si="507"/>
        <v>0</v>
      </c>
      <c r="L2542" s="716"/>
      <c r="M2542" s="429"/>
      <c r="N2542" s="430"/>
      <c r="O2542" s="287">
        <f t="shared" si="509"/>
        <v>0</v>
      </c>
      <c r="P2542" s="287">
        <f t="shared" si="510"/>
        <v>0</v>
      </c>
      <c r="Q2542" s="288"/>
      <c r="R2542" s="315" t="str">
        <f>IF(P2537&gt;0,"xy","")</f>
        <v/>
      </c>
      <c r="S2542" s="385" t="str">
        <f t="shared" si="506"/>
        <v/>
      </c>
    </row>
    <row r="2543" spans="2:19" ht="13.5" hidden="1" thickBot="1">
      <c r="B2543" s="609" t="s">
        <v>448</v>
      </c>
      <c r="C2543" s="610" t="s">
        <v>212</v>
      </c>
      <c r="D2543" s="611" t="str">
        <f>'ENSAIOS DE ORÇAMENTO'!C73</f>
        <v>ENSAIO DE ORÇAMENTO 4</v>
      </c>
      <c r="E2543" s="602"/>
      <c r="F2543" s="603"/>
      <c r="G2543" s="604"/>
      <c r="H2543" s="605">
        <f>SUM(H2544:H2548)</f>
        <v>0</v>
      </c>
      <c r="I2543" s="675">
        <f>VLOOKUP(D2543,'ENSAIOS DE ORÇAMENTO'!$C$3:$L$79,8,FALSE)</f>
        <v>0</v>
      </c>
      <c r="J2543" s="675">
        <f t="shared" ref="J2543" si="519">IF(ISBLANK(I2543),"",SUM(H2543:I2543))</f>
        <v>0</v>
      </c>
      <c r="K2543" s="606">
        <f t="shared" si="507"/>
        <v>0</v>
      </c>
      <c r="L2543" s="607"/>
      <c r="M2543" s="30"/>
      <c r="N2543" s="30"/>
      <c r="O2543" s="287">
        <f t="shared" si="509"/>
        <v>0</v>
      </c>
      <c r="P2543" s="287">
        <f t="shared" si="510"/>
        <v>0</v>
      </c>
      <c r="Q2543" s="288"/>
      <c r="S2543" s="385" t="str">
        <f t="shared" si="506"/>
        <v/>
      </c>
    </row>
    <row r="2544" spans="2:19" ht="13.5" hidden="1" thickBot="1">
      <c r="B2544" s="609" t="s">
        <v>168</v>
      </c>
      <c r="C2544" s="610"/>
      <c r="D2544" s="648" t="s">
        <v>218</v>
      </c>
      <c r="E2544" s="602"/>
      <c r="F2544" s="603">
        <v>500</v>
      </c>
      <c r="G2544" s="604">
        <f>VLOOKUP(D2543,'ENSAIOS DE ORÇAMENTO'!$C$3:$L$79,4,FALSE)</f>
        <v>0</v>
      </c>
      <c r="H2544" s="605">
        <f>IF(F2544&lt;=30,(0.51*F2544+4.28)*G2544,((0.51*30+4.28)+0.42*(F2544-30))*G2544)</f>
        <v>0</v>
      </c>
      <c r="I2544" s="675"/>
      <c r="J2544" s="675" t="str">
        <f t="shared" ref="J2544:J2583" si="520">IF(ISBLANK(I2544),"",SUM(H2544:I2544))</f>
        <v/>
      </c>
      <c r="K2544" s="606">
        <f t="shared" si="507"/>
        <v>0</v>
      </c>
      <c r="L2544" s="716"/>
      <c r="M2544" s="429"/>
      <c r="N2544" s="430"/>
      <c r="O2544" s="287">
        <f t="shared" si="509"/>
        <v>0</v>
      </c>
      <c r="P2544" s="287">
        <f t="shared" si="510"/>
        <v>0</v>
      </c>
      <c r="Q2544" s="288"/>
      <c r="R2544" s="315" t="str">
        <f>IF(P2543&gt;0,"xy","")</f>
        <v/>
      </c>
      <c r="S2544" s="385" t="str">
        <f t="shared" si="506"/>
        <v/>
      </c>
    </row>
    <row r="2545" spans="2:19" ht="13.5" hidden="1" thickBot="1">
      <c r="B2545" s="609" t="s">
        <v>168</v>
      </c>
      <c r="C2545" s="610"/>
      <c r="D2545" s="648" t="s">
        <v>256</v>
      </c>
      <c r="E2545" s="602"/>
      <c r="F2545" s="603">
        <v>180</v>
      </c>
      <c r="G2545" s="604">
        <f>VLOOKUP(D2543,'ENSAIOS DE ORÇAMENTO'!$C$3:$L$79,5,FALSE)</f>
        <v>0</v>
      </c>
      <c r="H2545" s="605">
        <f>IF(F2545=0,0,IF(F2545&lt;=30,(0.7*F2545+1.45)*G2545,((0.7*30+1.45)+0.58*(F2545-30))*G2545))</f>
        <v>0</v>
      </c>
      <c r="I2545" s="675"/>
      <c r="J2545" s="675" t="str">
        <f t="shared" si="520"/>
        <v/>
      </c>
      <c r="K2545" s="606">
        <f t="shared" si="507"/>
        <v>0</v>
      </c>
      <c r="L2545" s="716"/>
      <c r="M2545" s="429"/>
      <c r="N2545" s="430"/>
      <c r="O2545" s="287">
        <f t="shared" si="509"/>
        <v>0</v>
      </c>
      <c r="P2545" s="287">
        <f t="shared" si="510"/>
        <v>0</v>
      </c>
      <c r="Q2545" s="288"/>
      <c r="R2545" s="315" t="str">
        <f>IF(P2543&gt;0,"xy","")</f>
        <v/>
      </c>
      <c r="S2545" s="385" t="str">
        <f t="shared" si="506"/>
        <v/>
      </c>
    </row>
    <row r="2546" spans="2:19" ht="13.5" hidden="1" thickBot="1">
      <c r="B2546" s="609" t="s">
        <v>168</v>
      </c>
      <c r="C2546" s="610"/>
      <c r="D2546" s="648" t="s">
        <v>260</v>
      </c>
      <c r="E2546" s="602"/>
      <c r="F2546" s="603">
        <v>20</v>
      </c>
      <c r="G2546" s="604">
        <f>VLOOKUP(D2543,'ENSAIOS DE ORÇAMENTO'!$C$3:$L$79,6,FALSE)</f>
        <v>0</v>
      </c>
      <c r="H2546" s="605">
        <f>IF(F2546=0,0,IF(F2546&lt;=30,(0.7*F2546+1.45)*G2546,((0.7*30+1.45)+0.58*(F2546-30))*G2546))</f>
        <v>0</v>
      </c>
      <c r="I2546" s="675"/>
      <c r="J2546" s="675" t="str">
        <f t="shared" si="520"/>
        <v/>
      </c>
      <c r="K2546" s="606">
        <f t="shared" si="507"/>
        <v>0</v>
      </c>
      <c r="L2546" s="716"/>
      <c r="M2546" s="429"/>
      <c r="N2546" s="430"/>
      <c r="O2546" s="287">
        <f t="shared" si="509"/>
        <v>0</v>
      </c>
      <c r="P2546" s="287">
        <f t="shared" si="510"/>
        <v>0</v>
      </c>
      <c r="Q2546" s="288"/>
      <c r="R2546" s="243" t="str">
        <f>IF(P2543&gt;0,"xy","")</f>
        <v/>
      </c>
      <c r="S2546" s="385" t="str">
        <f t="shared" si="506"/>
        <v/>
      </c>
    </row>
    <row r="2547" spans="2:19" ht="13.5" hidden="1" thickBot="1">
      <c r="B2547" s="609" t="s">
        <v>168</v>
      </c>
      <c r="C2547" s="610"/>
      <c r="D2547" s="648" t="s">
        <v>417</v>
      </c>
      <c r="E2547" s="602"/>
      <c r="F2547" s="603">
        <v>30</v>
      </c>
      <c r="G2547" s="604">
        <f>VLOOKUP(D2543,'ENSAIOS DE ORÇAMENTO'!$C$3:$L$79,3,FALSE)</f>
        <v>0</v>
      </c>
      <c r="H2547" s="605">
        <f>IF(F2547=0,0,IF(F2547&lt;=30,(0.7*F2547+1.45)*G2547,((0.7*30+1.45)+0.58*(F2547-30))*G2547))</f>
        <v>0</v>
      </c>
      <c r="I2547" s="675"/>
      <c r="J2547" s="675" t="str">
        <f t="shared" si="520"/>
        <v/>
      </c>
      <c r="K2547" s="606">
        <f t="shared" si="507"/>
        <v>0</v>
      </c>
      <c r="L2547" s="716"/>
      <c r="M2547" s="429"/>
      <c r="N2547" s="430"/>
      <c r="O2547" s="287">
        <f t="shared" si="509"/>
        <v>0</v>
      </c>
      <c r="P2547" s="287">
        <f t="shared" si="510"/>
        <v>0</v>
      </c>
      <c r="Q2547" s="288"/>
      <c r="R2547" s="315" t="str">
        <f>IF(P2543&gt;0,"xy","")</f>
        <v/>
      </c>
      <c r="S2547" s="385" t="str">
        <f t="shared" si="506"/>
        <v/>
      </c>
    </row>
    <row r="2548" spans="2:19" ht="13.5" hidden="1" thickBot="1">
      <c r="B2548" s="609" t="s">
        <v>168</v>
      </c>
      <c r="C2548" s="610"/>
      <c r="D2548" s="648" t="s">
        <v>418</v>
      </c>
      <c r="E2548" s="602"/>
      <c r="F2548" s="603">
        <v>500</v>
      </c>
      <c r="G2548" s="604">
        <f>VLOOKUP(D2543,'ENSAIOS DE ORÇAMENTO'!$C$3:$L$79,10,FALSE)</f>
        <v>0</v>
      </c>
      <c r="H2548" s="605">
        <f>IF(F2548=0,0,IF(F2548&lt;=30,(0.7*F2548+1.45)*G2548,((0.7*30+1.45)+0.58*(F2548-30))*G2548))</f>
        <v>0</v>
      </c>
      <c r="I2548" s="675"/>
      <c r="J2548" s="675" t="str">
        <f t="shared" si="520"/>
        <v/>
      </c>
      <c r="K2548" s="606">
        <f t="shared" si="507"/>
        <v>0</v>
      </c>
      <c r="L2548" s="716"/>
      <c r="M2548" s="429"/>
      <c r="N2548" s="430"/>
      <c r="O2548" s="287">
        <f t="shared" si="509"/>
        <v>0</v>
      </c>
      <c r="P2548" s="287">
        <f t="shared" si="510"/>
        <v>0</v>
      </c>
      <c r="Q2548" s="288"/>
      <c r="R2548" s="315" t="str">
        <f>IF(P2543&gt;0,"xy","")</f>
        <v/>
      </c>
      <c r="S2548" s="385" t="str">
        <f t="shared" si="506"/>
        <v/>
      </c>
    </row>
    <row r="2549" spans="2:19" ht="13.5" hidden="1" thickBot="1">
      <c r="B2549" s="609" t="s">
        <v>449</v>
      </c>
      <c r="C2549" s="610" t="s">
        <v>212</v>
      </c>
      <c r="D2549" s="611" t="str">
        <f>'ENSAIOS DE ORÇAMENTO'!C74</f>
        <v>ENSAIO DE ORÇAMENTO 5</v>
      </c>
      <c r="E2549" s="602"/>
      <c r="F2549" s="603"/>
      <c r="G2549" s="604"/>
      <c r="H2549" s="605">
        <f>SUM(H2550:H2554)</f>
        <v>0</v>
      </c>
      <c r="I2549" s="675">
        <f>VLOOKUP(D2549,'ENSAIOS DE ORÇAMENTO'!$C$3:$L$79,8,FALSE)</f>
        <v>0</v>
      </c>
      <c r="J2549" s="675">
        <f t="shared" si="520"/>
        <v>0</v>
      </c>
      <c r="K2549" s="606">
        <f t="shared" si="507"/>
        <v>0</v>
      </c>
      <c r="L2549" s="607"/>
      <c r="M2549" s="30"/>
      <c r="N2549" s="30"/>
      <c r="O2549" s="287">
        <f t="shared" si="509"/>
        <v>0</v>
      </c>
      <c r="P2549" s="287">
        <f t="shared" si="510"/>
        <v>0</v>
      </c>
      <c r="Q2549" s="288"/>
      <c r="S2549" s="385" t="str">
        <f t="shared" si="506"/>
        <v/>
      </c>
    </row>
    <row r="2550" spans="2:19" ht="13.5" hidden="1" thickBot="1">
      <c r="B2550" s="609" t="s">
        <v>168</v>
      </c>
      <c r="C2550" s="610"/>
      <c r="D2550" s="648" t="s">
        <v>218</v>
      </c>
      <c r="E2550" s="602"/>
      <c r="F2550" s="603">
        <v>500</v>
      </c>
      <c r="G2550" s="604">
        <f>VLOOKUP(D2549,'ENSAIOS DE ORÇAMENTO'!$C$3:$L$79,4,FALSE)</f>
        <v>0</v>
      </c>
      <c r="H2550" s="605">
        <f>IF(F2550&lt;=30,(0.51*F2550+4.28)*G2550,((0.51*30+4.28)+0.42*(F2550-30))*G2550)</f>
        <v>0</v>
      </c>
      <c r="I2550" s="675"/>
      <c r="J2550" s="675" t="str">
        <f t="shared" si="520"/>
        <v/>
      </c>
      <c r="K2550" s="606">
        <f t="shared" si="507"/>
        <v>0</v>
      </c>
      <c r="L2550" s="716"/>
      <c r="M2550" s="429"/>
      <c r="N2550" s="430"/>
      <c r="O2550" s="287">
        <f t="shared" si="509"/>
        <v>0</v>
      </c>
      <c r="P2550" s="287">
        <f t="shared" si="510"/>
        <v>0</v>
      </c>
      <c r="Q2550" s="288"/>
      <c r="R2550" s="315" t="str">
        <f>IF(P2549&gt;0,"xy","")</f>
        <v/>
      </c>
      <c r="S2550" s="385" t="str">
        <f t="shared" si="506"/>
        <v/>
      </c>
    </row>
    <row r="2551" spans="2:19" ht="13.5" hidden="1" thickBot="1">
      <c r="B2551" s="609" t="s">
        <v>168</v>
      </c>
      <c r="C2551" s="610"/>
      <c r="D2551" s="648" t="s">
        <v>256</v>
      </c>
      <c r="E2551" s="602"/>
      <c r="F2551" s="603">
        <v>180</v>
      </c>
      <c r="G2551" s="604">
        <f>VLOOKUP(D2549,'ENSAIOS DE ORÇAMENTO'!$C$3:$L$79,5,FALSE)</f>
        <v>0</v>
      </c>
      <c r="H2551" s="605">
        <f>IF(F2551=0,0,IF(F2551&lt;=30,(0.7*F2551+1.45)*G2551,((0.7*30+1.45)+0.58*(F2551-30))*G2551))</f>
        <v>0</v>
      </c>
      <c r="I2551" s="675"/>
      <c r="J2551" s="675" t="str">
        <f t="shared" si="520"/>
        <v/>
      </c>
      <c r="K2551" s="606">
        <f t="shared" si="507"/>
        <v>0</v>
      </c>
      <c r="L2551" s="716"/>
      <c r="M2551" s="429"/>
      <c r="N2551" s="430"/>
      <c r="O2551" s="287">
        <f t="shared" si="509"/>
        <v>0</v>
      </c>
      <c r="P2551" s="287">
        <f t="shared" si="510"/>
        <v>0</v>
      </c>
      <c r="Q2551" s="288"/>
      <c r="R2551" s="315" t="str">
        <f>IF(P2549&gt;0,"xy","")</f>
        <v/>
      </c>
      <c r="S2551" s="385" t="str">
        <f t="shared" si="506"/>
        <v/>
      </c>
    </row>
    <row r="2552" spans="2:19" ht="13.5" hidden="1" thickBot="1">
      <c r="B2552" s="609" t="s">
        <v>168</v>
      </c>
      <c r="C2552" s="610"/>
      <c r="D2552" s="648" t="s">
        <v>260</v>
      </c>
      <c r="E2552" s="602"/>
      <c r="F2552" s="603">
        <v>20</v>
      </c>
      <c r="G2552" s="604">
        <f>VLOOKUP(D2549,'ENSAIOS DE ORÇAMENTO'!$C$3:$L$79,6,FALSE)</f>
        <v>0</v>
      </c>
      <c r="H2552" s="605">
        <f>IF(F2552=0,0,IF(F2552&lt;=30,(0.7*F2552+1.45)*G2552,((0.7*30+1.45)+0.58*(F2552-30))*G2552))</f>
        <v>0</v>
      </c>
      <c r="I2552" s="675"/>
      <c r="J2552" s="675" t="str">
        <f t="shared" si="520"/>
        <v/>
      </c>
      <c r="K2552" s="606">
        <f t="shared" si="507"/>
        <v>0</v>
      </c>
      <c r="L2552" s="716"/>
      <c r="M2552" s="429"/>
      <c r="N2552" s="430"/>
      <c r="O2552" s="287">
        <f t="shared" si="509"/>
        <v>0</v>
      </c>
      <c r="P2552" s="287">
        <f t="shared" si="510"/>
        <v>0</v>
      </c>
      <c r="Q2552" s="288"/>
      <c r="R2552" s="243" t="str">
        <f>IF(P2549&gt;0,"xy","")</f>
        <v/>
      </c>
      <c r="S2552" s="385" t="str">
        <f t="shared" si="506"/>
        <v/>
      </c>
    </row>
    <row r="2553" spans="2:19" ht="13.5" hidden="1" thickBot="1">
      <c r="B2553" s="609" t="s">
        <v>168</v>
      </c>
      <c r="C2553" s="610"/>
      <c r="D2553" s="611" t="s">
        <v>417</v>
      </c>
      <c r="E2553" s="602"/>
      <c r="F2553" s="603">
        <v>30</v>
      </c>
      <c r="G2553" s="604">
        <f>VLOOKUP(D2549,'ENSAIOS DE ORÇAMENTO'!$C$3:$L$79,3,FALSE)</f>
        <v>0</v>
      </c>
      <c r="H2553" s="605">
        <f>IF(F2553=0,0,IF(F2553&lt;=30,(0.7*F2553+1.45)*G2553,((0.7*30+1.45)+0.58*(F2553-30))*G2553))</f>
        <v>0</v>
      </c>
      <c r="I2553" s="675"/>
      <c r="J2553" s="675" t="str">
        <f t="shared" si="520"/>
        <v/>
      </c>
      <c r="K2553" s="606">
        <f t="shared" si="507"/>
        <v>0</v>
      </c>
      <c r="L2553" s="607"/>
      <c r="M2553" s="429"/>
      <c r="N2553" s="430"/>
      <c r="O2553" s="287">
        <f t="shared" si="509"/>
        <v>0</v>
      </c>
      <c r="P2553" s="287">
        <f t="shared" si="510"/>
        <v>0</v>
      </c>
      <c r="Q2553" s="288"/>
      <c r="R2553" s="315" t="str">
        <f>IF(P2549&gt;0,"xy","")</f>
        <v/>
      </c>
      <c r="S2553" s="385" t="str">
        <f t="shared" si="506"/>
        <v/>
      </c>
    </row>
    <row r="2554" spans="2:19" ht="13.5" hidden="1" thickBot="1">
      <c r="B2554" s="609" t="s">
        <v>168</v>
      </c>
      <c r="C2554" s="610"/>
      <c r="D2554" s="648" t="s">
        <v>418</v>
      </c>
      <c r="E2554" s="602"/>
      <c r="F2554" s="603">
        <v>500</v>
      </c>
      <c r="G2554" s="604">
        <f>VLOOKUP(D2549,'ENSAIOS DE ORÇAMENTO'!$C$3:$L$79,10,FALSE)</f>
        <v>0</v>
      </c>
      <c r="H2554" s="605">
        <f>IF(F2554=0,0,IF(F2554&lt;=30,(0.7*F2554+1.45)*G2554,((0.7*30+1.45)+0.58*(F2554-30))*G2554))</f>
        <v>0</v>
      </c>
      <c r="I2554" s="675"/>
      <c r="J2554" s="675" t="str">
        <f t="shared" si="520"/>
        <v/>
      </c>
      <c r="K2554" s="606">
        <f t="shared" si="507"/>
        <v>0</v>
      </c>
      <c r="L2554" s="716"/>
      <c r="M2554" s="429"/>
      <c r="N2554" s="430"/>
      <c r="O2554" s="287">
        <f t="shared" si="509"/>
        <v>0</v>
      </c>
      <c r="P2554" s="287">
        <f t="shared" si="510"/>
        <v>0</v>
      </c>
      <c r="Q2554" s="288"/>
      <c r="R2554" s="315" t="str">
        <f>IF(P2549&gt;0,"xy","")</f>
        <v/>
      </c>
      <c r="S2554" s="385" t="str">
        <f t="shared" si="506"/>
        <v/>
      </c>
    </row>
    <row r="2555" spans="2:19" ht="13.5" hidden="1" thickBot="1">
      <c r="B2555" s="609" t="s">
        <v>450</v>
      </c>
      <c r="C2555" s="610" t="s">
        <v>212</v>
      </c>
      <c r="D2555" s="611" t="str">
        <f>'ENSAIOS DE ORÇAMENTO'!C75</f>
        <v>ENSAIO DE ORÇAMENTO 6</v>
      </c>
      <c r="E2555" s="602"/>
      <c r="F2555" s="603"/>
      <c r="G2555" s="604"/>
      <c r="H2555" s="605">
        <f>SUM(H2556:H2560)</f>
        <v>0</v>
      </c>
      <c r="I2555" s="675">
        <f>VLOOKUP(D2555,'ENSAIOS DE ORÇAMENTO'!$C$3:$L$79,8,FALSE)</f>
        <v>0</v>
      </c>
      <c r="J2555" s="675">
        <f t="shared" si="520"/>
        <v>0</v>
      </c>
      <c r="K2555" s="606">
        <f t="shared" si="507"/>
        <v>0</v>
      </c>
      <c r="L2555" s="607"/>
      <c r="M2555" s="30"/>
      <c r="N2555" s="30"/>
      <c r="O2555" s="287">
        <f t="shared" si="509"/>
        <v>0</v>
      </c>
      <c r="P2555" s="287">
        <f t="shared" si="510"/>
        <v>0</v>
      </c>
      <c r="Q2555" s="288"/>
      <c r="S2555" s="385" t="str">
        <f t="shared" si="506"/>
        <v/>
      </c>
    </row>
    <row r="2556" spans="2:19" ht="13.5" hidden="1" thickBot="1">
      <c r="B2556" s="609" t="s">
        <v>168</v>
      </c>
      <c r="C2556" s="610"/>
      <c r="D2556" s="648" t="s">
        <v>218</v>
      </c>
      <c r="E2556" s="602"/>
      <c r="F2556" s="603">
        <v>500</v>
      </c>
      <c r="G2556" s="604">
        <f>VLOOKUP(D2555,'ENSAIOS DE ORÇAMENTO'!$C$3:$L$79,4,FALSE)</f>
        <v>0</v>
      </c>
      <c r="H2556" s="605">
        <f>IF(F2556&lt;=30,(0.51*F2556+4.28)*G2556,((0.51*30+4.28)+0.42*(F2556-30))*G2556)</f>
        <v>0</v>
      </c>
      <c r="I2556" s="675"/>
      <c r="J2556" s="675" t="str">
        <f t="shared" si="520"/>
        <v/>
      </c>
      <c r="K2556" s="606">
        <f t="shared" si="507"/>
        <v>0</v>
      </c>
      <c r="L2556" s="716"/>
      <c r="M2556" s="429"/>
      <c r="N2556" s="430"/>
      <c r="O2556" s="287">
        <f t="shared" si="509"/>
        <v>0</v>
      </c>
      <c r="P2556" s="287">
        <f t="shared" si="510"/>
        <v>0</v>
      </c>
      <c r="Q2556" s="288"/>
      <c r="R2556" s="315" t="str">
        <f>IF(P2555&gt;0,"xy","")</f>
        <v/>
      </c>
      <c r="S2556" s="385" t="str">
        <f t="shared" si="506"/>
        <v/>
      </c>
    </row>
    <row r="2557" spans="2:19" ht="13.5" hidden="1" thickBot="1">
      <c r="B2557" s="609" t="s">
        <v>168</v>
      </c>
      <c r="C2557" s="610"/>
      <c r="D2557" s="648" t="s">
        <v>256</v>
      </c>
      <c r="E2557" s="602"/>
      <c r="F2557" s="603">
        <v>180</v>
      </c>
      <c r="G2557" s="604">
        <f>VLOOKUP(D2555,'ENSAIOS DE ORÇAMENTO'!$C$3:$L$79,5,FALSE)</f>
        <v>0</v>
      </c>
      <c r="H2557" s="605">
        <f>IF(F2557=0,0,IF(F2557&lt;=30,(0.7*F2557+1.45)*G2557,((0.7*30+1.45)+0.58*(F2557-30))*G2557))</f>
        <v>0</v>
      </c>
      <c r="I2557" s="675"/>
      <c r="J2557" s="675" t="str">
        <f t="shared" si="520"/>
        <v/>
      </c>
      <c r="K2557" s="606">
        <f t="shared" si="507"/>
        <v>0</v>
      </c>
      <c r="L2557" s="716"/>
      <c r="M2557" s="429"/>
      <c r="N2557" s="430"/>
      <c r="O2557" s="287">
        <f t="shared" si="509"/>
        <v>0</v>
      </c>
      <c r="P2557" s="287">
        <f t="shared" si="510"/>
        <v>0</v>
      </c>
      <c r="Q2557" s="288"/>
      <c r="R2557" s="315" t="str">
        <f>IF(P2555&gt;0,"xy","")</f>
        <v/>
      </c>
      <c r="S2557" s="385" t="str">
        <f t="shared" si="506"/>
        <v/>
      </c>
    </row>
    <row r="2558" spans="2:19" ht="13.5" hidden="1" thickBot="1">
      <c r="B2558" s="609" t="s">
        <v>168</v>
      </c>
      <c r="C2558" s="610"/>
      <c r="D2558" s="648" t="s">
        <v>260</v>
      </c>
      <c r="E2558" s="602"/>
      <c r="F2558" s="603">
        <v>20</v>
      </c>
      <c r="G2558" s="604">
        <f>VLOOKUP(D2555,'ENSAIOS DE ORÇAMENTO'!$C$3:$L$79,6,FALSE)</f>
        <v>0</v>
      </c>
      <c r="H2558" s="605">
        <f>IF(F2558=0,0,IF(F2558&lt;=30,(0.7*F2558+1.45)*G2558,((0.7*30+1.45)+0.58*(F2558-30))*G2558))</f>
        <v>0</v>
      </c>
      <c r="I2558" s="675"/>
      <c r="J2558" s="675" t="str">
        <f t="shared" si="520"/>
        <v/>
      </c>
      <c r="K2558" s="606">
        <f t="shared" si="507"/>
        <v>0</v>
      </c>
      <c r="L2558" s="716"/>
      <c r="M2558" s="429"/>
      <c r="N2558" s="430"/>
      <c r="O2558" s="287">
        <f t="shared" si="509"/>
        <v>0</v>
      </c>
      <c r="P2558" s="287">
        <f t="shared" si="510"/>
        <v>0</v>
      </c>
      <c r="Q2558" s="288"/>
      <c r="R2558" s="243" t="str">
        <f>IF(P2555&gt;0,"xy","")</f>
        <v/>
      </c>
      <c r="S2558" s="385" t="str">
        <f t="shared" si="506"/>
        <v/>
      </c>
    </row>
    <row r="2559" spans="2:19" ht="13.5" hidden="1" thickBot="1">
      <c r="B2559" s="609" t="s">
        <v>168</v>
      </c>
      <c r="C2559" s="610"/>
      <c r="D2559" s="648" t="s">
        <v>417</v>
      </c>
      <c r="E2559" s="602"/>
      <c r="F2559" s="603">
        <v>30</v>
      </c>
      <c r="G2559" s="604">
        <f>VLOOKUP(D2555,'ENSAIOS DE ORÇAMENTO'!$C$3:$L$79,3,FALSE)</f>
        <v>0</v>
      </c>
      <c r="H2559" s="605">
        <f>IF(F2559=0,0,IF(F2559&lt;=30,(0.7*F2559+1.45)*G2559,((0.7*30+1.45)+0.58*(F2559-30))*G2559))</f>
        <v>0</v>
      </c>
      <c r="I2559" s="675"/>
      <c r="J2559" s="675" t="str">
        <f t="shared" si="520"/>
        <v/>
      </c>
      <c r="K2559" s="606">
        <f t="shared" si="507"/>
        <v>0</v>
      </c>
      <c r="L2559" s="716"/>
      <c r="M2559" s="429"/>
      <c r="N2559" s="430"/>
      <c r="O2559" s="287">
        <f t="shared" si="509"/>
        <v>0</v>
      </c>
      <c r="P2559" s="287">
        <f t="shared" si="510"/>
        <v>0</v>
      </c>
      <c r="Q2559" s="288"/>
      <c r="R2559" s="315" t="str">
        <f>IF(P2555&gt;0,"xy","")</f>
        <v/>
      </c>
      <c r="S2559" s="385" t="str">
        <f t="shared" si="506"/>
        <v/>
      </c>
    </row>
    <row r="2560" spans="2:19" ht="13.5" hidden="1" thickBot="1">
      <c r="B2560" s="609" t="s">
        <v>168</v>
      </c>
      <c r="C2560" s="610"/>
      <c r="D2560" s="648" t="s">
        <v>418</v>
      </c>
      <c r="E2560" s="602"/>
      <c r="F2560" s="603">
        <v>500</v>
      </c>
      <c r="G2560" s="604">
        <f>VLOOKUP(D2555,'ENSAIOS DE ORÇAMENTO'!$C$3:$L$79,10,FALSE)</f>
        <v>0</v>
      </c>
      <c r="H2560" s="605">
        <f>IF(F2560=0,0,IF(F2560&lt;=30,(0.7*F2560+1.45)*G2560,((0.7*30+1.45)+0.58*(F2560-30))*G2560))</f>
        <v>0</v>
      </c>
      <c r="I2560" s="675"/>
      <c r="J2560" s="675" t="str">
        <f t="shared" si="520"/>
        <v/>
      </c>
      <c r="K2560" s="606">
        <f t="shared" si="507"/>
        <v>0</v>
      </c>
      <c r="L2560" s="716"/>
      <c r="M2560" s="429"/>
      <c r="N2560" s="430"/>
      <c r="O2560" s="287">
        <f t="shared" si="509"/>
        <v>0</v>
      </c>
      <c r="P2560" s="287">
        <f t="shared" si="510"/>
        <v>0</v>
      </c>
      <c r="Q2560" s="288"/>
      <c r="R2560" s="315" t="str">
        <f>IF(P2555&gt;0,"xy","")</f>
        <v/>
      </c>
      <c r="S2560" s="385" t="str">
        <f t="shared" si="506"/>
        <v/>
      </c>
    </row>
    <row r="2561" spans="2:19" ht="13.5" hidden="1" thickBot="1">
      <c r="B2561" s="609" t="s">
        <v>451</v>
      </c>
      <c r="C2561" s="610" t="s">
        <v>212</v>
      </c>
      <c r="D2561" s="611" t="str">
        <f>'ENSAIOS DE ORÇAMENTO'!C76</f>
        <v>ENSAIO DE ORÇAMENTO 7</v>
      </c>
      <c r="E2561" s="602"/>
      <c r="F2561" s="603"/>
      <c r="G2561" s="604"/>
      <c r="H2561" s="605">
        <f>SUM(H2562:H2566)</f>
        <v>0</v>
      </c>
      <c r="I2561" s="675">
        <f>VLOOKUP(D2561,'ENSAIOS DE ORÇAMENTO'!$C$3:$L$79,8,FALSE)</f>
        <v>0</v>
      </c>
      <c r="J2561" s="675">
        <f t="shared" si="520"/>
        <v>0</v>
      </c>
      <c r="K2561" s="606">
        <f t="shared" si="507"/>
        <v>0</v>
      </c>
      <c r="L2561" s="607"/>
      <c r="M2561" s="30"/>
      <c r="N2561" s="30"/>
      <c r="O2561" s="287">
        <f t="shared" si="509"/>
        <v>0</v>
      </c>
      <c r="P2561" s="287">
        <f t="shared" si="510"/>
        <v>0</v>
      </c>
      <c r="Q2561" s="288"/>
      <c r="S2561" s="385" t="str">
        <f t="shared" si="506"/>
        <v/>
      </c>
    </row>
    <row r="2562" spans="2:19" ht="13.5" hidden="1" thickBot="1">
      <c r="B2562" s="609" t="s">
        <v>168</v>
      </c>
      <c r="C2562" s="610"/>
      <c r="D2562" s="648" t="s">
        <v>218</v>
      </c>
      <c r="E2562" s="602"/>
      <c r="F2562" s="603">
        <v>500</v>
      </c>
      <c r="G2562" s="604">
        <f>VLOOKUP(D2561,'ENSAIOS DE ORÇAMENTO'!$C$3:$L$79,4,FALSE)</f>
        <v>0</v>
      </c>
      <c r="H2562" s="605">
        <f>IF(F2562&lt;=30,(0.51*F2562+4.28)*G2562,((0.51*30+4.28)+0.42*(F2562-30))*G2562)</f>
        <v>0</v>
      </c>
      <c r="I2562" s="675"/>
      <c r="J2562" s="675" t="str">
        <f t="shared" si="520"/>
        <v/>
      </c>
      <c r="K2562" s="606">
        <f t="shared" si="507"/>
        <v>0</v>
      </c>
      <c r="L2562" s="716"/>
      <c r="M2562" s="429"/>
      <c r="N2562" s="430"/>
      <c r="O2562" s="287">
        <f t="shared" si="509"/>
        <v>0</v>
      </c>
      <c r="P2562" s="287">
        <f t="shared" si="510"/>
        <v>0</v>
      </c>
      <c r="Q2562" s="288"/>
      <c r="R2562" s="315" t="str">
        <f>IF(P2561&gt;0,"xy","")</f>
        <v/>
      </c>
      <c r="S2562" s="385" t="str">
        <f t="shared" si="506"/>
        <v/>
      </c>
    </row>
    <row r="2563" spans="2:19" ht="13.5" hidden="1" thickBot="1">
      <c r="B2563" s="609" t="s">
        <v>168</v>
      </c>
      <c r="C2563" s="610"/>
      <c r="D2563" s="648" t="s">
        <v>256</v>
      </c>
      <c r="E2563" s="602"/>
      <c r="F2563" s="603">
        <v>180</v>
      </c>
      <c r="G2563" s="604">
        <f>VLOOKUP(D2561,'ENSAIOS DE ORÇAMENTO'!$C$3:$L$79,5,FALSE)</f>
        <v>0</v>
      </c>
      <c r="H2563" s="605">
        <f>IF(F2563=0,0,IF(F2563&lt;=30,(0.7*F2563+1.45)*G2563,((0.7*30+1.45)+0.58*(F2563-30))*G2563))</f>
        <v>0</v>
      </c>
      <c r="I2563" s="675"/>
      <c r="J2563" s="675" t="str">
        <f t="shared" si="520"/>
        <v/>
      </c>
      <c r="K2563" s="606">
        <f t="shared" si="507"/>
        <v>0</v>
      </c>
      <c r="L2563" s="716"/>
      <c r="M2563" s="429"/>
      <c r="N2563" s="430"/>
      <c r="O2563" s="287">
        <f t="shared" si="509"/>
        <v>0</v>
      </c>
      <c r="P2563" s="287">
        <f t="shared" si="510"/>
        <v>0</v>
      </c>
      <c r="Q2563" s="288"/>
      <c r="R2563" s="315" t="str">
        <f>IF(P2561&gt;0,"xy","")</f>
        <v/>
      </c>
      <c r="S2563" s="385" t="str">
        <f t="shared" si="506"/>
        <v/>
      </c>
    </row>
    <row r="2564" spans="2:19" ht="13.5" hidden="1" thickBot="1">
      <c r="B2564" s="609" t="s">
        <v>168</v>
      </c>
      <c r="C2564" s="610"/>
      <c r="D2564" s="648" t="s">
        <v>260</v>
      </c>
      <c r="E2564" s="602"/>
      <c r="F2564" s="603">
        <v>20</v>
      </c>
      <c r="G2564" s="604">
        <f>VLOOKUP(D2561,'ENSAIOS DE ORÇAMENTO'!$C$3:$L$79,6,FALSE)</f>
        <v>0</v>
      </c>
      <c r="H2564" s="605">
        <f>IF(F2564=0,0,IF(F2564&lt;=30,(0.7*F2564+1.45)*G2564,((0.7*30+1.45)+0.58*(F2564-30))*G2564))</f>
        <v>0</v>
      </c>
      <c r="I2564" s="675"/>
      <c r="J2564" s="675" t="str">
        <f t="shared" si="520"/>
        <v/>
      </c>
      <c r="K2564" s="606">
        <f t="shared" si="507"/>
        <v>0</v>
      </c>
      <c r="L2564" s="716"/>
      <c r="M2564" s="429"/>
      <c r="N2564" s="430"/>
      <c r="O2564" s="287">
        <f t="shared" si="509"/>
        <v>0</v>
      </c>
      <c r="P2564" s="287">
        <f t="shared" si="510"/>
        <v>0</v>
      </c>
      <c r="Q2564" s="288"/>
      <c r="R2564" s="243" t="str">
        <f>IF(P2561&gt;0,"xy","")</f>
        <v/>
      </c>
      <c r="S2564" s="385" t="str">
        <f t="shared" si="506"/>
        <v/>
      </c>
    </row>
    <row r="2565" spans="2:19" ht="13.5" hidden="1" thickBot="1">
      <c r="B2565" s="609" t="s">
        <v>168</v>
      </c>
      <c r="C2565" s="610"/>
      <c r="D2565" s="648" t="s">
        <v>417</v>
      </c>
      <c r="E2565" s="602"/>
      <c r="F2565" s="603">
        <v>30</v>
      </c>
      <c r="G2565" s="604">
        <f>VLOOKUP(D2561,'ENSAIOS DE ORÇAMENTO'!$C$3:$L$79,3,FALSE)</f>
        <v>0</v>
      </c>
      <c r="H2565" s="605">
        <f>IF(F2565=0,0,IF(F2565&lt;=30,(0.7*F2565+1.45)*G2565,((0.7*30+1.45)+0.58*(F2565-30))*G2565))</f>
        <v>0</v>
      </c>
      <c r="I2565" s="675"/>
      <c r="J2565" s="675" t="str">
        <f t="shared" si="520"/>
        <v/>
      </c>
      <c r="K2565" s="606">
        <f t="shared" si="507"/>
        <v>0</v>
      </c>
      <c r="L2565" s="716"/>
      <c r="M2565" s="429"/>
      <c r="N2565" s="430"/>
      <c r="O2565" s="287">
        <f t="shared" si="509"/>
        <v>0</v>
      </c>
      <c r="P2565" s="287">
        <f t="shared" si="510"/>
        <v>0</v>
      </c>
      <c r="Q2565" s="288"/>
      <c r="R2565" s="315" t="str">
        <f>IF(P2561&gt;0,"xy","")</f>
        <v/>
      </c>
      <c r="S2565" s="385" t="str">
        <f t="shared" si="506"/>
        <v/>
      </c>
    </row>
    <row r="2566" spans="2:19" ht="13.5" hidden="1" thickBot="1">
      <c r="B2566" s="609" t="s">
        <v>168</v>
      </c>
      <c r="C2566" s="610"/>
      <c r="D2566" s="648" t="s">
        <v>418</v>
      </c>
      <c r="E2566" s="602"/>
      <c r="F2566" s="603">
        <v>500</v>
      </c>
      <c r="G2566" s="604">
        <f>VLOOKUP(D2561,'ENSAIOS DE ORÇAMENTO'!$C$3:$L$79,10,FALSE)</f>
        <v>0</v>
      </c>
      <c r="H2566" s="605">
        <f>IF(F2566=0,0,IF(F2566&lt;=30,(0.7*F2566+1.45)*G2566,((0.7*30+1.45)+0.58*(F2566-30))*G2566))</f>
        <v>0</v>
      </c>
      <c r="I2566" s="675"/>
      <c r="J2566" s="675" t="str">
        <f t="shared" si="520"/>
        <v/>
      </c>
      <c r="K2566" s="606">
        <f t="shared" si="507"/>
        <v>0</v>
      </c>
      <c r="L2566" s="716"/>
      <c r="M2566" s="429"/>
      <c r="N2566" s="430"/>
      <c r="O2566" s="287">
        <f t="shared" si="509"/>
        <v>0</v>
      </c>
      <c r="P2566" s="287">
        <f t="shared" si="510"/>
        <v>0</v>
      </c>
      <c r="Q2566" s="288"/>
      <c r="R2566" s="315" t="str">
        <f>IF(P2561&gt;0,"xy","")</f>
        <v/>
      </c>
      <c r="S2566" s="385" t="str">
        <f t="shared" si="506"/>
        <v/>
      </c>
    </row>
    <row r="2567" spans="2:19" ht="13.5" hidden="1" thickBot="1">
      <c r="B2567" s="609" t="s">
        <v>452</v>
      </c>
      <c r="C2567" s="610" t="s">
        <v>212</v>
      </c>
      <c r="D2567" s="611" t="str">
        <f>'ENSAIOS DE ORÇAMENTO'!C77</f>
        <v>ENSAIO DE ORÇAMENTO 8</v>
      </c>
      <c r="E2567" s="602"/>
      <c r="F2567" s="603"/>
      <c r="G2567" s="604"/>
      <c r="H2567" s="605">
        <f>SUM(H2568:H2572)</f>
        <v>0</v>
      </c>
      <c r="I2567" s="675">
        <f>VLOOKUP(D2567,'ENSAIOS DE ORÇAMENTO'!$C$3:$L$79,8,FALSE)</f>
        <v>0</v>
      </c>
      <c r="J2567" s="675">
        <f t="shared" si="520"/>
        <v>0</v>
      </c>
      <c r="K2567" s="606">
        <f t="shared" si="507"/>
        <v>0</v>
      </c>
      <c r="L2567" s="607"/>
      <c r="M2567" s="30"/>
      <c r="N2567" s="30"/>
      <c r="O2567" s="287">
        <f t="shared" si="509"/>
        <v>0</v>
      </c>
      <c r="P2567" s="287">
        <f t="shared" si="510"/>
        <v>0</v>
      </c>
      <c r="Q2567" s="288"/>
      <c r="S2567" s="385" t="str">
        <f t="shared" si="506"/>
        <v/>
      </c>
    </row>
    <row r="2568" spans="2:19" ht="13.5" hidden="1" thickBot="1">
      <c r="B2568" s="609" t="s">
        <v>168</v>
      </c>
      <c r="C2568" s="610"/>
      <c r="D2568" s="648" t="s">
        <v>218</v>
      </c>
      <c r="E2568" s="602"/>
      <c r="F2568" s="603">
        <v>500</v>
      </c>
      <c r="G2568" s="604">
        <f>VLOOKUP(D2567,'ENSAIOS DE ORÇAMENTO'!$C$3:$L$79,4,FALSE)</f>
        <v>0</v>
      </c>
      <c r="H2568" s="605">
        <f>IF(F2568&lt;=30,(0.51*F2568+4.28)*G2568,((0.51*30+4.28)+0.42*(F2568-30))*G2568)</f>
        <v>0</v>
      </c>
      <c r="I2568" s="675"/>
      <c r="J2568" s="675" t="str">
        <f t="shared" si="520"/>
        <v/>
      </c>
      <c r="K2568" s="606">
        <f t="shared" si="507"/>
        <v>0</v>
      </c>
      <c r="L2568" s="716"/>
      <c r="M2568" s="429"/>
      <c r="N2568" s="430"/>
      <c r="O2568" s="287">
        <f t="shared" si="509"/>
        <v>0</v>
      </c>
      <c r="P2568" s="287">
        <f t="shared" si="510"/>
        <v>0</v>
      </c>
      <c r="Q2568" s="288"/>
      <c r="R2568" s="315" t="str">
        <f>IF(P2567&gt;0,"xy","")</f>
        <v/>
      </c>
      <c r="S2568" s="385" t="str">
        <f t="shared" ref="S2568:S2631" si="521">IF(R2568="x","x",IF(R2568="y","x",IF(R2568="xy","x",IF(P2568&gt;0,"x",""))))</f>
        <v/>
      </c>
    </row>
    <row r="2569" spans="2:19" ht="13.5" hidden="1" thickBot="1">
      <c r="B2569" s="609" t="s">
        <v>168</v>
      </c>
      <c r="C2569" s="610"/>
      <c r="D2569" s="648" t="s">
        <v>256</v>
      </c>
      <c r="E2569" s="602"/>
      <c r="F2569" s="603">
        <v>180</v>
      </c>
      <c r="G2569" s="604">
        <f>VLOOKUP(D2567,'ENSAIOS DE ORÇAMENTO'!$C$3:$L$79,5,FALSE)</f>
        <v>0</v>
      </c>
      <c r="H2569" s="605">
        <f>IF(F2569=0,0,IF(F2569&lt;=30,(0.7*F2569+1.45)*G2569,((0.7*30+1.45)+0.58*(F2569-30))*G2569))</f>
        <v>0</v>
      </c>
      <c r="I2569" s="675"/>
      <c r="J2569" s="675" t="str">
        <f t="shared" si="520"/>
        <v/>
      </c>
      <c r="K2569" s="606">
        <f t="shared" ref="K2569:K2584" si="522">IF(ISBLANK(I2569),0,ROUND(J2569*(1+$F$10)*(1+$F$11*E2569),2))</f>
        <v>0</v>
      </c>
      <c r="L2569" s="716"/>
      <c r="M2569" s="429"/>
      <c r="N2569" s="430"/>
      <c r="O2569" s="287">
        <f t="shared" si="509"/>
        <v>0</v>
      </c>
      <c r="P2569" s="287">
        <f t="shared" si="510"/>
        <v>0</v>
      </c>
      <c r="Q2569" s="288"/>
      <c r="R2569" s="315" t="str">
        <f>IF(P2567&gt;0,"xy","")</f>
        <v/>
      </c>
      <c r="S2569" s="385" t="str">
        <f t="shared" si="521"/>
        <v/>
      </c>
    </row>
    <row r="2570" spans="2:19" ht="13.5" hidden="1" thickBot="1">
      <c r="B2570" s="609" t="s">
        <v>168</v>
      </c>
      <c r="C2570" s="610"/>
      <c r="D2570" s="648" t="s">
        <v>260</v>
      </c>
      <c r="E2570" s="602"/>
      <c r="F2570" s="603">
        <v>20</v>
      </c>
      <c r="G2570" s="604">
        <f>VLOOKUP(D2567,'ENSAIOS DE ORÇAMENTO'!$C$3:$L$79,6,FALSE)</f>
        <v>0</v>
      </c>
      <c r="H2570" s="605">
        <f>IF(F2570=0,0,IF(F2570&lt;=30,(0.7*F2570+1.45)*G2570,((0.7*30+1.45)+0.58*(F2570-30))*G2570))</f>
        <v>0</v>
      </c>
      <c r="I2570" s="675"/>
      <c r="J2570" s="675" t="str">
        <f t="shared" si="520"/>
        <v/>
      </c>
      <c r="K2570" s="606">
        <f t="shared" si="522"/>
        <v>0</v>
      </c>
      <c r="L2570" s="716"/>
      <c r="M2570" s="429"/>
      <c r="N2570" s="430"/>
      <c r="O2570" s="287">
        <f t="shared" si="509"/>
        <v>0</v>
      </c>
      <c r="P2570" s="287">
        <f t="shared" si="510"/>
        <v>0</v>
      </c>
      <c r="Q2570" s="288"/>
      <c r="R2570" s="243" t="str">
        <f>IF(P2567&gt;0,"xy","")</f>
        <v/>
      </c>
      <c r="S2570" s="385" t="str">
        <f t="shared" si="521"/>
        <v/>
      </c>
    </row>
    <row r="2571" spans="2:19" ht="13.5" hidden="1" thickBot="1">
      <c r="B2571" s="609" t="s">
        <v>168</v>
      </c>
      <c r="C2571" s="610"/>
      <c r="D2571" s="648" t="s">
        <v>417</v>
      </c>
      <c r="E2571" s="602"/>
      <c r="F2571" s="603">
        <v>30</v>
      </c>
      <c r="G2571" s="604">
        <f>VLOOKUP(D2567,'ENSAIOS DE ORÇAMENTO'!$C$3:$L$79,3,FALSE)</f>
        <v>0</v>
      </c>
      <c r="H2571" s="605">
        <f>IF(F2571=0,0,IF(F2571&lt;=30,(0.7*F2571+1.45)*G2571,((0.7*30+1.45)+0.58*(F2571-30))*G2571))</f>
        <v>0</v>
      </c>
      <c r="I2571" s="675"/>
      <c r="J2571" s="675" t="str">
        <f t="shared" si="520"/>
        <v/>
      </c>
      <c r="K2571" s="606">
        <f t="shared" si="522"/>
        <v>0</v>
      </c>
      <c r="L2571" s="716"/>
      <c r="M2571" s="429"/>
      <c r="N2571" s="430"/>
      <c r="O2571" s="287">
        <f t="shared" ref="O2571:O2584" si="523">IF(ISBLANK(M2571),0,ROUND(K2571*M2571,2))</f>
        <v>0</v>
      </c>
      <c r="P2571" s="287">
        <f t="shared" ref="P2571:P2584" si="524">IF(ISBLANK(N2571),0,ROUND(M2571*N2571,2))</f>
        <v>0</v>
      </c>
      <c r="Q2571" s="288"/>
      <c r="R2571" s="315" t="str">
        <f>IF(P2567&gt;0,"xy","")</f>
        <v/>
      </c>
      <c r="S2571" s="385" t="str">
        <f t="shared" si="521"/>
        <v/>
      </c>
    </row>
    <row r="2572" spans="2:19" ht="13.5" hidden="1" thickBot="1">
      <c r="B2572" s="609" t="s">
        <v>168</v>
      </c>
      <c r="C2572" s="610"/>
      <c r="D2572" s="648" t="s">
        <v>418</v>
      </c>
      <c r="E2572" s="602"/>
      <c r="F2572" s="603">
        <v>500</v>
      </c>
      <c r="G2572" s="604">
        <f>VLOOKUP(D2567,'ENSAIOS DE ORÇAMENTO'!$C$3:$L$79,10,FALSE)</f>
        <v>0</v>
      </c>
      <c r="H2572" s="605">
        <f>IF(F2572=0,0,IF(F2572&lt;=30,(0.7*F2572+1.45)*G2572,((0.7*30+1.45)+0.58*(F2572-30))*G2572))</f>
        <v>0</v>
      </c>
      <c r="I2572" s="675"/>
      <c r="J2572" s="675" t="str">
        <f t="shared" si="520"/>
        <v/>
      </c>
      <c r="K2572" s="606">
        <f t="shared" si="522"/>
        <v>0</v>
      </c>
      <c r="L2572" s="716"/>
      <c r="M2572" s="429"/>
      <c r="N2572" s="430"/>
      <c r="O2572" s="287">
        <f t="shared" si="523"/>
        <v>0</v>
      </c>
      <c r="P2572" s="287">
        <f t="shared" si="524"/>
        <v>0</v>
      </c>
      <c r="Q2572" s="288"/>
      <c r="R2572" s="315" t="str">
        <f>IF(P2567&gt;0,"xy","")</f>
        <v/>
      </c>
      <c r="S2572" s="385" t="str">
        <f t="shared" si="521"/>
        <v/>
      </c>
    </row>
    <row r="2573" spans="2:19" ht="13.5" hidden="1" thickBot="1">
      <c r="B2573" s="609" t="s">
        <v>453</v>
      </c>
      <c r="C2573" s="610" t="s">
        <v>212</v>
      </c>
      <c r="D2573" s="611" t="str">
        <f>'ENSAIOS DE ORÇAMENTO'!C78</f>
        <v>ENSAIO DE ORÇAMENTO 9</v>
      </c>
      <c r="E2573" s="602"/>
      <c r="F2573" s="603"/>
      <c r="G2573" s="604"/>
      <c r="H2573" s="605">
        <f>SUM(H2574:H2578)</f>
        <v>0</v>
      </c>
      <c r="I2573" s="675">
        <f>VLOOKUP(D2573,'ENSAIOS DE ORÇAMENTO'!$C$3:$L$79,8,FALSE)</f>
        <v>0</v>
      </c>
      <c r="J2573" s="675">
        <f t="shared" si="520"/>
        <v>0</v>
      </c>
      <c r="K2573" s="606">
        <f t="shared" si="522"/>
        <v>0</v>
      </c>
      <c r="L2573" s="607"/>
      <c r="M2573" s="30"/>
      <c r="N2573" s="30"/>
      <c r="O2573" s="287">
        <f t="shared" si="523"/>
        <v>0</v>
      </c>
      <c r="P2573" s="287">
        <f t="shared" si="524"/>
        <v>0</v>
      </c>
      <c r="Q2573" s="288"/>
      <c r="S2573" s="385" t="str">
        <f t="shared" si="521"/>
        <v/>
      </c>
    </row>
    <row r="2574" spans="2:19" ht="13.5" hidden="1" thickBot="1">
      <c r="B2574" s="609" t="s">
        <v>168</v>
      </c>
      <c r="C2574" s="610"/>
      <c r="D2574" s="648" t="s">
        <v>218</v>
      </c>
      <c r="E2574" s="602"/>
      <c r="F2574" s="603">
        <v>500</v>
      </c>
      <c r="G2574" s="604">
        <f>VLOOKUP(D2573,'ENSAIOS DE ORÇAMENTO'!$C$3:$L$79,4,FALSE)</f>
        <v>0</v>
      </c>
      <c r="H2574" s="605">
        <f>IF(F2574&lt;=30,(0.51*F2574+4.28)*G2574,((0.51*30+4.28)+0.42*(F2574-30))*G2574)</f>
        <v>0</v>
      </c>
      <c r="I2574" s="675"/>
      <c r="J2574" s="675" t="str">
        <f t="shared" si="520"/>
        <v/>
      </c>
      <c r="K2574" s="606">
        <f t="shared" si="522"/>
        <v>0</v>
      </c>
      <c r="L2574" s="716"/>
      <c r="M2574" s="429"/>
      <c r="N2574" s="430"/>
      <c r="O2574" s="287">
        <f t="shared" si="523"/>
        <v>0</v>
      </c>
      <c r="P2574" s="287">
        <f t="shared" si="524"/>
        <v>0</v>
      </c>
      <c r="Q2574" s="288"/>
      <c r="R2574" s="315" t="str">
        <f>IF(P2573&gt;0,"xy","")</f>
        <v/>
      </c>
      <c r="S2574" s="385" t="str">
        <f t="shared" si="521"/>
        <v/>
      </c>
    </row>
    <row r="2575" spans="2:19" ht="13.5" hidden="1" thickBot="1">
      <c r="B2575" s="609" t="s">
        <v>168</v>
      </c>
      <c r="C2575" s="610"/>
      <c r="D2575" s="648" t="s">
        <v>256</v>
      </c>
      <c r="E2575" s="602"/>
      <c r="F2575" s="603">
        <v>180</v>
      </c>
      <c r="G2575" s="604">
        <f>VLOOKUP(D2573,'ENSAIOS DE ORÇAMENTO'!$C$3:$L$79,5,FALSE)</f>
        <v>0</v>
      </c>
      <c r="H2575" s="605">
        <f>IF(F2575=0,0,IF(F2575&lt;=30,(0.7*F2575+1.45)*G2575,((0.7*30+1.45)+0.58*(F2575-30))*G2575))</f>
        <v>0</v>
      </c>
      <c r="I2575" s="675"/>
      <c r="J2575" s="675" t="str">
        <f t="shared" si="520"/>
        <v/>
      </c>
      <c r="K2575" s="606">
        <f t="shared" si="522"/>
        <v>0</v>
      </c>
      <c r="L2575" s="716"/>
      <c r="M2575" s="429"/>
      <c r="N2575" s="430"/>
      <c r="O2575" s="287">
        <f t="shared" si="523"/>
        <v>0</v>
      </c>
      <c r="P2575" s="287">
        <f t="shared" si="524"/>
        <v>0</v>
      </c>
      <c r="Q2575" s="288"/>
      <c r="R2575" s="315" t="str">
        <f>IF(P2573&gt;0,"xy","")</f>
        <v/>
      </c>
      <c r="S2575" s="385" t="str">
        <f t="shared" si="521"/>
        <v/>
      </c>
    </row>
    <row r="2576" spans="2:19" ht="13.5" hidden="1" thickBot="1">
      <c r="B2576" s="609" t="s">
        <v>168</v>
      </c>
      <c r="C2576" s="610"/>
      <c r="D2576" s="648" t="s">
        <v>260</v>
      </c>
      <c r="E2576" s="602"/>
      <c r="F2576" s="603">
        <v>20</v>
      </c>
      <c r="G2576" s="604">
        <f>VLOOKUP(D2573,'ENSAIOS DE ORÇAMENTO'!$C$3:$L$79,6,FALSE)</f>
        <v>0</v>
      </c>
      <c r="H2576" s="605">
        <f>IF(F2576=0,0,IF(F2576&lt;=30,(0.7*F2576+1.45)*G2576,((0.7*30+1.45)+0.58*(F2576-30))*G2576))</f>
        <v>0</v>
      </c>
      <c r="I2576" s="675"/>
      <c r="J2576" s="675" t="str">
        <f t="shared" si="520"/>
        <v/>
      </c>
      <c r="K2576" s="606">
        <f t="shared" si="522"/>
        <v>0</v>
      </c>
      <c r="L2576" s="716"/>
      <c r="M2576" s="429"/>
      <c r="N2576" s="430"/>
      <c r="O2576" s="287">
        <f t="shared" si="523"/>
        <v>0</v>
      </c>
      <c r="P2576" s="287">
        <f t="shared" si="524"/>
        <v>0</v>
      </c>
      <c r="Q2576" s="288"/>
      <c r="R2576" s="243" t="str">
        <f>IF(P2573&gt;0,"xy","")</f>
        <v/>
      </c>
      <c r="S2576" s="385" t="str">
        <f t="shared" si="521"/>
        <v/>
      </c>
    </row>
    <row r="2577" spans="2:19" ht="13.5" hidden="1" thickBot="1">
      <c r="B2577" s="609" t="s">
        <v>168</v>
      </c>
      <c r="C2577" s="610"/>
      <c r="D2577" s="648" t="s">
        <v>417</v>
      </c>
      <c r="E2577" s="602"/>
      <c r="F2577" s="603">
        <v>30</v>
      </c>
      <c r="G2577" s="604">
        <f>VLOOKUP(D2573,'ENSAIOS DE ORÇAMENTO'!$C$3:$L$79,3,FALSE)</f>
        <v>0</v>
      </c>
      <c r="H2577" s="605">
        <f>IF(F2577=0,0,IF(F2577&lt;=30,(0.7*F2577+1.45)*G2577,((0.7*30+1.45)+0.58*(F2577-30))*G2577))</f>
        <v>0</v>
      </c>
      <c r="I2577" s="675"/>
      <c r="J2577" s="675" t="str">
        <f t="shared" si="520"/>
        <v/>
      </c>
      <c r="K2577" s="606">
        <f t="shared" si="522"/>
        <v>0</v>
      </c>
      <c r="L2577" s="716"/>
      <c r="M2577" s="429"/>
      <c r="N2577" s="430"/>
      <c r="O2577" s="287">
        <f t="shared" si="523"/>
        <v>0</v>
      </c>
      <c r="P2577" s="287">
        <f t="shared" si="524"/>
        <v>0</v>
      </c>
      <c r="Q2577" s="288"/>
      <c r="R2577" s="315" t="str">
        <f>IF(P2573&gt;0,"xy","")</f>
        <v/>
      </c>
      <c r="S2577" s="385" t="str">
        <f t="shared" si="521"/>
        <v/>
      </c>
    </row>
    <row r="2578" spans="2:19" ht="13.5" hidden="1" thickBot="1">
      <c r="B2578" s="609" t="s">
        <v>168</v>
      </c>
      <c r="C2578" s="610"/>
      <c r="D2578" s="648" t="s">
        <v>418</v>
      </c>
      <c r="E2578" s="602"/>
      <c r="F2578" s="603">
        <v>500</v>
      </c>
      <c r="G2578" s="604">
        <f>VLOOKUP(D2573,'ENSAIOS DE ORÇAMENTO'!$C$3:$L$79,10,FALSE)</f>
        <v>0</v>
      </c>
      <c r="H2578" s="605">
        <f>IF(F2578=0,0,IF(F2578&lt;=30,(0.7*F2578+1.45)*G2578,((0.7*30+1.45)+0.58*(F2578-30))*G2578))</f>
        <v>0</v>
      </c>
      <c r="I2578" s="675"/>
      <c r="J2578" s="675" t="str">
        <f t="shared" si="520"/>
        <v/>
      </c>
      <c r="K2578" s="606">
        <f t="shared" si="522"/>
        <v>0</v>
      </c>
      <c r="L2578" s="716"/>
      <c r="M2578" s="429"/>
      <c r="N2578" s="430"/>
      <c r="O2578" s="287">
        <f t="shared" si="523"/>
        <v>0</v>
      </c>
      <c r="P2578" s="287">
        <f t="shared" si="524"/>
        <v>0</v>
      </c>
      <c r="Q2578" s="288"/>
      <c r="R2578" s="315" t="str">
        <f>IF(P2573&gt;0,"xy","")</f>
        <v/>
      </c>
      <c r="S2578" s="385" t="str">
        <f t="shared" si="521"/>
        <v/>
      </c>
    </row>
    <row r="2579" spans="2:19" ht="13.5" hidden="1" thickBot="1">
      <c r="B2579" s="609" t="s">
        <v>454</v>
      </c>
      <c r="C2579" s="610" t="s">
        <v>212</v>
      </c>
      <c r="D2579" s="611" t="str">
        <f>'ENSAIOS DE ORÇAMENTO'!C79</f>
        <v>ENSAIO DE ORÇAMENTO 10</v>
      </c>
      <c r="E2579" s="602"/>
      <c r="F2579" s="603"/>
      <c r="G2579" s="604"/>
      <c r="H2579" s="605">
        <f>SUM(H2580:H2584)</f>
        <v>0</v>
      </c>
      <c r="I2579" s="675">
        <f>VLOOKUP(D2579,'ENSAIOS DE ORÇAMENTO'!$C$3:$L$79,8,FALSE)</f>
        <v>0</v>
      </c>
      <c r="J2579" s="675">
        <f t="shared" si="520"/>
        <v>0</v>
      </c>
      <c r="K2579" s="606">
        <f t="shared" si="522"/>
        <v>0</v>
      </c>
      <c r="L2579" s="607"/>
      <c r="M2579" s="30"/>
      <c r="N2579" s="30"/>
      <c r="O2579" s="287">
        <f t="shared" si="523"/>
        <v>0</v>
      </c>
      <c r="P2579" s="287">
        <f t="shared" si="524"/>
        <v>0</v>
      </c>
      <c r="Q2579" s="288"/>
      <c r="S2579" s="385" t="str">
        <f t="shared" si="521"/>
        <v/>
      </c>
    </row>
    <row r="2580" spans="2:19" ht="13.5" hidden="1" thickBot="1">
      <c r="B2580" s="609" t="s">
        <v>168</v>
      </c>
      <c r="C2580" s="610"/>
      <c r="D2580" s="648" t="s">
        <v>218</v>
      </c>
      <c r="E2580" s="602"/>
      <c r="F2580" s="603">
        <v>500</v>
      </c>
      <c r="G2580" s="604">
        <f>VLOOKUP(D2579,'ENSAIOS DE ORÇAMENTO'!$C$3:$L$79,4,FALSE)</f>
        <v>0</v>
      </c>
      <c r="H2580" s="605">
        <f>IF(F2580&lt;=30,(0.51*F2580+4.28)*G2580,((0.51*30+4.28)+0.42*(F2580-30))*G2580)</f>
        <v>0</v>
      </c>
      <c r="I2580" s="675"/>
      <c r="J2580" s="675" t="str">
        <f t="shared" si="520"/>
        <v/>
      </c>
      <c r="K2580" s="606">
        <f t="shared" si="522"/>
        <v>0</v>
      </c>
      <c r="L2580" s="716" t="s">
        <v>777</v>
      </c>
      <c r="M2580" s="429"/>
      <c r="N2580" s="430"/>
      <c r="O2580" s="287">
        <f t="shared" si="523"/>
        <v>0</v>
      </c>
      <c r="P2580" s="287">
        <f t="shared" si="524"/>
        <v>0</v>
      </c>
      <c r="Q2580" s="288"/>
      <c r="R2580" s="315" t="str">
        <f>IF(P2579&gt;0,"xy","")</f>
        <v/>
      </c>
      <c r="S2580" s="385" t="str">
        <f t="shared" si="521"/>
        <v/>
      </c>
    </row>
    <row r="2581" spans="2:19" ht="13.5" hidden="1" thickBot="1">
      <c r="B2581" s="609" t="s">
        <v>168</v>
      </c>
      <c r="C2581" s="610"/>
      <c r="D2581" s="648" t="s">
        <v>256</v>
      </c>
      <c r="E2581" s="602"/>
      <c r="F2581" s="603">
        <v>180</v>
      </c>
      <c r="G2581" s="604">
        <f>VLOOKUP(D2579,'ENSAIOS DE ORÇAMENTO'!$C$3:$L$79,5,FALSE)</f>
        <v>0</v>
      </c>
      <c r="H2581" s="605">
        <f>IF(F2581=0,0,IF(F2581&lt;=30,(0.7*F2581+1.45)*G2581,((0.7*30+1.45)+0.58*(F2581-30))*G2581))</f>
        <v>0</v>
      </c>
      <c r="I2581" s="675"/>
      <c r="J2581" s="675" t="str">
        <f t="shared" si="520"/>
        <v/>
      </c>
      <c r="K2581" s="606">
        <f t="shared" si="522"/>
        <v>0</v>
      </c>
      <c r="L2581" s="716" t="s">
        <v>777</v>
      </c>
      <c r="M2581" s="429"/>
      <c r="N2581" s="430"/>
      <c r="O2581" s="287">
        <f t="shared" si="523"/>
        <v>0</v>
      </c>
      <c r="P2581" s="287">
        <f t="shared" si="524"/>
        <v>0</v>
      </c>
      <c r="Q2581" s="288"/>
      <c r="R2581" s="315" t="str">
        <f>IF(P2579&gt;0,"xy","")</f>
        <v/>
      </c>
      <c r="S2581" s="385" t="str">
        <f t="shared" si="521"/>
        <v/>
      </c>
    </row>
    <row r="2582" spans="2:19" ht="13.5" hidden="1" thickBot="1">
      <c r="B2582" s="609" t="s">
        <v>168</v>
      </c>
      <c r="C2582" s="610"/>
      <c r="D2582" s="648" t="s">
        <v>260</v>
      </c>
      <c r="E2582" s="602"/>
      <c r="F2582" s="603">
        <v>20</v>
      </c>
      <c r="G2582" s="604">
        <f>VLOOKUP(D2579,'ENSAIOS DE ORÇAMENTO'!$C$3:$L$79,6,FALSE)</f>
        <v>0</v>
      </c>
      <c r="H2582" s="605">
        <f>IF(F2582=0,0,IF(F2582&lt;=30,(0.7*F2582+1.45)*G2582,((0.7*30+1.45)+0.58*(F2582-30))*G2582))</f>
        <v>0</v>
      </c>
      <c r="I2582" s="675"/>
      <c r="J2582" s="675" t="str">
        <f t="shared" si="520"/>
        <v/>
      </c>
      <c r="K2582" s="606">
        <f t="shared" si="522"/>
        <v>0</v>
      </c>
      <c r="L2582" s="716" t="s">
        <v>777</v>
      </c>
      <c r="M2582" s="429"/>
      <c r="N2582" s="430"/>
      <c r="O2582" s="287">
        <f t="shared" si="523"/>
        <v>0</v>
      </c>
      <c r="P2582" s="287">
        <f t="shared" si="524"/>
        <v>0</v>
      </c>
      <c r="Q2582" s="288"/>
      <c r="R2582" s="243" t="str">
        <f>IF(P2579&gt;0,"xy","")</f>
        <v/>
      </c>
      <c r="S2582" s="385" t="str">
        <f t="shared" si="521"/>
        <v/>
      </c>
    </row>
    <row r="2583" spans="2:19" ht="13.5" hidden="1" thickBot="1">
      <c r="B2583" s="609" t="s">
        <v>168</v>
      </c>
      <c r="C2583" s="610"/>
      <c r="D2583" s="648" t="s">
        <v>417</v>
      </c>
      <c r="E2583" s="602"/>
      <c r="F2583" s="603">
        <v>30</v>
      </c>
      <c r="G2583" s="604">
        <f>VLOOKUP(D2579,'ENSAIOS DE ORÇAMENTO'!$C$3:$L$79,3,FALSE)</f>
        <v>0</v>
      </c>
      <c r="H2583" s="605">
        <f>IF(F2583=0,0,IF(F2583&lt;=30,(0.7*F2583+1.45)*G2583,((0.7*30+1.45)+0.58*(F2583-30))*G2583))</f>
        <v>0</v>
      </c>
      <c r="I2583" s="675"/>
      <c r="J2583" s="675" t="str">
        <f t="shared" si="520"/>
        <v/>
      </c>
      <c r="K2583" s="606">
        <f t="shared" si="522"/>
        <v>0</v>
      </c>
      <c r="L2583" s="716" t="s">
        <v>777</v>
      </c>
      <c r="M2583" s="429"/>
      <c r="N2583" s="430"/>
      <c r="O2583" s="287">
        <f t="shared" si="523"/>
        <v>0</v>
      </c>
      <c r="P2583" s="287">
        <f t="shared" si="524"/>
        <v>0</v>
      </c>
      <c r="Q2583" s="288"/>
      <c r="R2583" s="315" t="str">
        <f>IF(P2579&gt;0,"xy","")</f>
        <v/>
      </c>
      <c r="S2583" s="385" t="str">
        <f t="shared" si="521"/>
        <v/>
      </c>
    </row>
    <row r="2584" spans="2:19" ht="13.5" hidden="1" thickBot="1">
      <c r="B2584" s="609" t="s">
        <v>168</v>
      </c>
      <c r="C2584" s="610"/>
      <c r="D2584" s="648" t="s">
        <v>418</v>
      </c>
      <c r="E2584" s="602"/>
      <c r="F2584" s="603">
        <v>500</v>
      </c>
      <c r="G2584" s="604">
        <f>VLOOKUP(D2579,'ENSAIOS DE ORÇAMENTO'!$C$3:$L$79,10,FALSE)</f>
        <v>0</v>
      </c>
      <c r="H2584" s="605">
        <f>IF(F2584=0,0,IF(F2584&lt;=30,(0.7*F2584+1.45)*G2584,((0.7*30+1.45)+0.58*(F2584-30))*G2584))</f>
        <v>0</v>
      </c>
      <c r="I2584" s="675"/>
      <c r="J2584" s="675" t="str">
        <f t="shared" ref="J2584" si="525">IF(ISBLANK(I2584),"",SUM(H2584:I2584))</f>
        <v/>
      </c>
      <c r="K2584" s="606">
        <f t="shared" si="522"/>
        <v>0</v>
      </c>
      <c r="L2584" s="716" t="s">
        <v>777</v>
      </c>
      <c r="M2584" s="429"/>
      <c r="N2584" s="430"/>
      <c r="O2584" s="287">
        <f t="shared" si="523"/>
        <v>0</v>
      </c>
      <c r="P2584" s="391">
        <f t="shared" si="524"/>
        <v>0</v>
      </c>
      <c r="Q2584" s="288"/>
      <c r="R2584" s="315" t="str">
        <f>IF(P2579&gt;0,"xy","")</f>
        <v/>
      </c>
      <c r="S2584" s="385" t="str">
        <f t="shared" si="521"/>
        <v/>
      </c>
    </row>
    <row r="2585" spans="2:19" ht="13.5" hidden="1" thickBot="1">
      <c r="B2585" s="624" t="s">
        <v>187</v>
      </c>
      <c r="C2585" s="687"/>
      <c r="D2585" s="688" t="s">
        <v>465</v>
      </c>
      <c r="E2585" s="689"/>
      <c r="F2585" s="690"/>
      <c r="G2585" s="691"/>
      <c r="H2585" s="676"/>
      <c r="I2585" s="615"/>
      <c r="J2585" s="615"/>
      <c r="K2585" s="615"/>
      <c r="L2585" s="615" t="s">
        <v>777</v>
      </c>
      <c r="M2585" s="398"/>
      <c r="N2585" s="399"/>
      <c r="O2585" s="399"/>
      <c r="P2585" s="400"/>
      <c r="Q2585" s="288"/>
      <c r="R2585" s="384" t="str">
        <f>IF(SUM(P2586:P2616)&gt;0,"y","")</f>
        <v/>
      </c>
      <c r="S2585" s="385" t="str">
        <f t="shared" si="521"/>
        <v/>
      </c>
    </row>
    <row r="2586" spans="2:19" ht="13.5" hidden="1" thickBot="1">
      <c r="B2586" s="625" t="s">
        <v>187</v>
      </c>
      <c r="C2586" s="401" t="s">
        <v>187</v>
      </c>
      <c r="D2586" s="402"/>
      <c r="E2586" s="403"/>
      <c r="F2586" s="411"/>
      <c r="G2586" s="405"/>
      <c r="H2586" s="404"/>
      <c r="I2586" s="406"/>
      <c r="J2586" s="407"/>
      <c r="K2586" s="408">
        <f t="shared" ref="K2586:K2616" si="526">IF(ISBLANK(J2586),0,ROUND(J2586*(1+$F$10)*(1+$F$11*E2586),2))</f>
        <v>0</v>
      </c>
      <c r="L2586" s="409" t="s">
        <v>777</v>
      </c>
      <c r="M2586" s="425"/>
      <c r="N2586" s="425"/>
      <c r="O2586" s="287">
        <f t="shared" ref="O2586" si="527">IF(ISBLANK(M2586),0,ROUND(K2586*M2586,2))</f>
        <v>0</v>
      </c>
      <c r="P2586" s="391">
        <f t="shared" ref="P2586:P2616" si="528">IF(ISBLANK(N2586),0,ROUND(M2586*N2586,2))</f>
        <v>0</v>
      </c>
      <c r="Q2586" s="288"/>
      <c r="R2586" s="243"/>
      <c r="S2586" s="385" t="str">
        <f t="shared" si="521"/>
        <v/>
      </c>
    </row>
    <row r="2587" spans="2:19" ht="13.5" hidden="1" thickBot="1">
      <c r="B2587" s="625" t="s">
        <v>187</v>
      </c>
      <c r="C2587" s="401" t="s">
        <v>187</v>
      </c>
      <c r="D2587" s="402"/>
      <c r="E2587" s="403"/>
      <c r="F2587" s="411"/>
      <c r="G2587" s="405"/>
      <c r="H2587" s="404"/>
      <c r="I2587" s="406"/>
      <c r="J2587" s="407"/>
      <c r="K2587" s="412">
        <f t="shared" si="526"/>
        <v>0</v>
      </c>
      <c r="L2587" s="409" t="s">
        <v>777</v>
      </c>
      <c r="M2587" s="30"/>
      <c r="N2587" s="30"/>
      <c r="O2587" s="287">
        <f>IF(ISBLANK(M2587),0,ROUND(K2587*M2587,2))</f>
        <v>0</v>
      </c>
      <c r="P2587" s="287">
        <f t="shared" si="528"/>
        <v>0</v>
      </c>
      <c r="Q2587" s="288"/>
      <c r="R2587" s="243"/>
      <c r="S2587" s="385" t="str">
        <f t="shared" si="521"/>
        <v/>
      </c>
    </row>
    <row r="2588" spans="2:19" ht="13.5" hidden="1" thickBot="1">
      <c r="B2588" s="625" t="s">
        <v>187</v>
      </c>
      <c r="C2588" s="401" t="s">
        <v>187</v>
      </c>
      <c r="D2588" s="410"/>
      <c r="E2588" s="403"/>
      <c r="F2588" s="411"/>
      <c r="G2588" s="405"/>
      <c r="H2588" s="404"/>
      <c r="I2588" s="406"/>
      <c r="J2588" s="407"/>
      <c r="K2588" s="412">
        <f t="shared" si="526"/>
        <v>0</v>
      </c>
      <c r="L2588" s="409" t="s">
        <v>777</v>
      </c>
      <c r="M2588" s="30"/>
      <c r="N2588" s="30"/>
      <c r="O2588" s="287">
        <f t="shared" ref="O2588:O2616" si="529">IF(ISBLANK(M2588),0,ROUND(K2588*M2588,2))</f>
        <v>0</v>
      </c>
      <c r="P2588" s="287">
        <f t="shared" si="528"/>
        <v>0</v>
      </c>
      <c r="Q2588" s="288"/>
      <c r="R2588" s="243"/>
      <c r="S2588" s="385" t="str">
        <f t="shared" si="521"/>
        <v/>
      </c>
    </row>
    <row r="2589" spans="2:19" ht="13.5" hidden="1" thickBot="1">
      <c r="B2589" s="625" t="s">
        <v>187</v>
      </c>
      <c r="C2589" s="401" t="s">
        <v>187</v>
      </c>
      <c r="D2589" s="410"/>
      <c r="E2589" s="403"/>
      <c r="F2589" s="411"/>
      <c r="G2589" s="405"/>
      <c r="H2589" s="404"/>
      <c r="I2589" s="406"/>
      <c r="J2589" s="407"/>
      <c r="K2589" s="412">
        <f t="shared" si="526"/>
        <v>0</v>
      </c>
      <c r="L2589" s="409" t="s">
        <v>777</v>
      </c>
      <c r="M2589" s="30"/>
      <c r="N2589" s="30"/>
      <c r="O2589" s="287">
        <f t="shared" si="529"/>
        <v>0</v>
      </c>
      <c r="P2589" s="287">
        <f t="shared" si="528"/>
        <v>0</v>
      </c>
      <c r="Q2589" s="288"/>
      <c r="R2589" s="243"/>
      <c r="S2589" s="385" t="str">
        <f t="shared" si="521"/>
        <v/>
      </c>
    </row>
    <row r="2590" spans="2:19" ht="13.5" hidden="1" thickBot="1">
      <c r="B2590" s="625" t="s">
        <v>187</v>
      </c>
      <c r="C2590" s="401" t="s">
        <v>187</v>
      </c>
      <c r="D2590" s="410"/>
      <c r="E2590" s="403"/>
      <c r="F2590" s="411"/>
      <c r="G2590" s="405"/>
      <c r="H2590" s="404"/>
      <c r="I2590" s="406"/>
      <c r="J2590" s="407"/>
      <c r="K2590" s="412">
        <f t="shared" si="526"/>
        <v>0</v>
      </c>
      <c r="L2590" s="409" t="s">
        <v>777</v>
      </c>
      <c r="M2590" s="30"/>
      <c r="N2590" s="30"/>
      <c r="O2590" s="287">
        <f t="shared" si="529"/>
        <v>0</v>
      </c>
      <c r="P2590" s="287">
        <f t="shared" si="528"/>
        <v>0</v>
      </c>
      <c r="Q2590" s="288"/>
      <c r="R2590" s="243"/>
      <c r="S2590" s="385" t="str">
        <f t="shared" si="521"/>
        <v/>
      </c>
    </row>
    <row r="2591" spans="2:19" ht="13.5" hidden="1" thickBot="1">
      <c r="B2591" s="625" t="s">
        <v>187</v>
      </c>
      <c r="C2591" s="401" t="s">
        <v>187</v>
      </c>
      <c r="D2591" s="410"/>
      <c r="E2591" s="403"/>
      <c r="F2591" s="411"/>
      <c r="G2591" s="405"/>
      <c r="H2591" s="404"/>
      <c r="I2591" s="406"/>
      <c r="J2591" s="407"/>
      <c r="K2591" s="412">
        <f t="shared" si="526"/>
        <v>0</v>
      </c>
      <c r="L2591" s="409" t="s">
        <v>777</v>
      </c>
      <c r="M2591" s="30"/>
      <c r="N2591" s="30"/>
      <c r="O2591" s="287">
        <f t="shared" si="529"/>
        <v>0</v>
      </c>
      <c r="P2591" s="287">
        <f t="shared" si="528"/>
        <v>0</v>
      </c>
      <c r="Q2591" s="288"/>
      <c r="R2591" s="243"/>
      <c r="S2591" s="385" t="str">
        <f t="shared" si="521"/>
        <v/>
      </c>
    </row>
    <row r="2592" spans="2:19" ht="13.5" hidden="1" thickBot="1">
      <c r="B2592" s="625" t="s">
        <v>187</v>
      </c>
      <c r="C2592" s="401" t="s">
        <v>187</v>
      </c>
      <c r="D2592" s="410"/>
      <c r="E2592" s="403"/>
      <c r="F2592" s="411"/>
      <c r="G2592" s="405"/>
      <c r="H2592" s="404"/>
      <c r="I2592" s="406"/>
      <c r="J2592" s="407"/>
      <c r="K2592" s="412">
        <f t="shared" si="526"/>
        <v>0</v>
      </c>
      <c r="L2592" s="409" t="s">
        <v>777</v>
      </c>
      <c r="M2592" s="30"/>
      <c r="N2592" s="30"/>
      <c r="O2592" s="287">
        <f t="shared" si="529"/>
        <v>0</v>
      </c>
      <c r="P2592" s="287">
        <f t="shared" si="528"/>
        <v>0</v>
      </c>
      <c r="Q2592" s="288"/>
      <c r="R2592" s="243"/>
      <c r="S2592" s="385" t="str">
        <f t="shared" si="521"/>
        <v/>
      </c>
    </row>
    <row r="2593" spans="2:19" ht="13.5" hidden="1" thickBot="1">
      <c r="B2593" s="625" t="s">
        <v>187</v>
      </c>
      <c r="C2593" s="401" t="s">
        <v>187</v>
      </c>
      <c r="D2593" s="410"/>
      <c r="E2593" s="403"/>
      <c r="F2593" s="411"/>
      <c r="G2593" s="405"/>
      <c r="H2593" s="404"/>
      <c r="I2593" s="406"/>
      <c r="J2593" s="407"/>
      <c r="K2593" s="412">
        <f t="shared" si="526"/>
        <v>0</v>
      </c>
      <c r="L2593" s="409" t="s">
        <v>777</v>
      </c>
      <c r="M2593" s="30"/>
      <c r="N2593" s="30"/>
      <c r="O2593" s="287">
        <f t="shared" si="529"/>
        <v>0</v>
      </c>
      <c r="P2593" s="287">
        <f t="shared" si="528"/>
        <v>0</v>
      </c>
      <c r="Q2593" s="288"/>
      <c r="R2593" s="243"/>
      <c r="S2593" s="385" t="str">
        <f t="shared" si="521"/>
        <v/>
      </c>
    </row>
    <row r="2594" spans="2:19" ht="13.5" hidden="1" thickBot="1">
      <c r="B2594" s="625" t="s">
        <v>187</v>
      </c>
      <c r="C2594" s="401" t="s">
        <v>187</v>
      </c>
      <c r="D2594" s="410"/>
      <c r="E2594" s="403"/>
      <c r="F2594" s="411"/>
      <c r="G2594" s="405"/>
      <c r="H2594" s="404"/>
      <c r="I2594" s="406"/>
      <c r="J2594" s="407"/>
      <c r="K2594" s="412">
        <f t="shared" si="526"/>
        <v>0</v>
      </c>
      <c r="L2594" s="409" t="s">
        <v>777</v>
      </c>
      <c r="M2594" s="30"/>
      <c r="N2594" s="30"/>
      <c r="O2594" s="287">
        <f t="shared" si="529"/>
        <v>0</v>
      </c>
      <c r="P2594" s="287">
        <f t="shared" si="528"/>
        <v>0</v>
      </c>
      <c r="Q2594" s="288"/>
      <c r="R2594" s="243"/>
      <c r="S2594" s="385" t="str">
        <f t="shared" si="521"/>
        <v/>
      </c>
    </row>
    <row r="2595" spans="2:19" ht="13.5" hidden="1" thickBot="1">
      <c r="B2595" s="625" t="s">
        <v>187</v>
      </c>
      <c r="C2595" s="401" t="s">
        <v>187</v>
      </c>
      <c r="D2595" s="410"/>
      <c r="E2595" s="403"/>
      <c r="F2595" s="411"/>
      <c r="G2595" s="405"/>
      <c r="H2595" s="404"/>
      <c r="I2595" s="406"/>
      <c r="J2595" s="407"/>
      <c r="K2595" s="412">
        <f t="shared" si="526"/>
        <v>0</v>
      </c>
      <c r="L2595" s="409" t="s">
        <v>777</v>
      </c>
      <c r="M2595" s="30"/>
      <c r="N2595" s="30"/>
      <c r="O2595" s="287">
        <f t="shared" si="529"/>
        <v>0</v>
      </c>
      <c r="P2595" s="287">
        <f t="shared" si="528"/>
        <v>0</v>
      </c>
      <c r="Q2595" s="288"/>
      <c r="R2595" s="243"/>
      <c r="S2595" s="385" t="str">
        <f t="shared" si="521"/>
        <v/>
      </c>
    </row>
    <row r="2596" spans="2:19" ht="13.5" hidden="1" thickBot="1">
      <c r="B2596" s="625" t="s">
        <v>187</v>
      </c>
      <c r="C2596" s="401" t="s">
        <v>187</v>
      </c>
      <c r="D2596" s="410"/>
      <c r="E2596" s="403"/>
      <c r="F2596" s="411"/>
      <c r="G2596" s="405"/>
      <c r="H2596" s="404"/>
      <c r="I2596" s="406"/>
      <c r="J2596" s="407"/>
      <c r="K2596" s="412">
        <f t="shared" si="526"/>
        <v>0</v>
      </c>
      <c r="L2596" s="409" t="s">
        <v>777</v>
      </c>
      <c r="M2596" s="30"/>
      <c r="N2596" s="30"/>
      <c r="O2596" s="287">
        <f t="shared" si="529"/>
        <v>0</v>
      </c>
      <c r="P2596" s="287">
        <f t="shared" si="528"/>
        <v>0</v>
      </c>
      <c r="Q2596" s="288"/>
      <c r="R2596" s="243"/>
      <c r="S2596" s="385" t="str">
        <f t="shared" si="521"/>
        <v/>
      </c>
    </row>
    <row r="2597" spans="2:19" ht="13.5" hidden="1" thickBot="1">
      <c r="B2597" s="625" t="s">
        <v>187</v>
      </c>
      <c r="C2597" s="401" t="s">
        <v>187</v>
      </c>
      <c r="D2597" s="410"/>
      <c r="E2597" s="403"/>
      <c r="F2597" s="411"/>
      <c r="G2597" s="405"/>
      <c r="H2597" s="404"/>
      <c r="I2597" s="406"/>
      <c r="J2597" s="407"/>
      <c r="K2597" s="412">
        <f t="shared" si="526"/>
        <v>0</v>
      </c>
      <c r="L2597" s="409" t="s">
        <v>777</v>
      </c>
      <c r="M2597" s="30"/>
      <c r="N2597" s="30"/>
      <c r="O2597" s="287">
        <f t="shared" si="529"/>
        <v>0</v>
      </c>
      <c r="P2597" s="287">
        <f t="shared" si="528"/>
        <v>0</v>
      </c>
      <c r="Q2597" s="288"/>
      <c r="R2597" s="243"/>
      <c r="S2597" s="385" t="str">
        <f t="shared" si="521"/>
        <v/>
      </c>
    </row>
    <row r="2598" spans="2:19" ht="13.5" hidden="1" thickBot="1">
      <c r="B2598" s="625" t="s">
        <v>187</v>
      </c>
      <c r="C2598" s="401" t="s">
        <v>187</v>
      </c>
      <c r="D2598" s="410"/>
      <c r="E2598" s="403"/>
      <c r="F2598" s="411"/>
      <c r="G2598" s="405"/>
      <c r="H2598" s="404"/>
      <c r="I2598" s="406"/>
      <c r="J2598" s="407"/>
      <c r="K2598" s="412">
        <f t="shared" si="526"/>
        <v>0</v>
      </c>
      <c r="L2598" s="409" t="s">
        <v>777</v>
      </c>
      <c r="M2598" s="30"/>
      <c r="N2598" s="30"/>
      <c r="O2598" s="287">
        <f t="shared" si="529"/>
        <v>0</v>
      </c>
      <c r="P2598" s="287">
        <f t="shared" si="528"/>
        <v>0</v>
      </c>
      <c r="Q2598" s="288"/>
      <c r="R2598" s="243"/>
      <c r="S2598" s="385" t="str">
        <f t="shared" si="521"/>
        <v/>
      </c>
    </row>
    <row r="2599" spans="2:19" ht="13.5" hidden="1" thickBot="1">
      <c r="B2599" s="625" t="s">
        <v>187</v>
      </c>
      <c r="C2599" s="401" t="s">
        <v>187</v>
      </c>
      <c r="D2599" s="410"/>
      <c r="E2599" s="403"/>
      <c r="F2599" s="411"/>
      <c r="G2599" s="405"/>
      <c r="H2599" s="404"/>
      <c r="I2599" s="406"/>
      <c r="J2599" s="407"/>
      <c r="K2599" s="412">
        <f t="shared" si="526"/>
        <v>0</v>
      </c>
      <c r="L2599" s="409" t="s">
        <v>777</v>
      </c>
      <c r="M2599" s="30"/>
      <c r="N2599" s="30"/>
      <c r="O2599" s="287">
        <f t="shared" si="529"/>
        <v>0</v>
      </c>
      <c r="P2599" s="287">
        <f t="shared" si="528"/>
        <v>0</v>
      </c>
      <c r="Q2599" s="288"/>
      <c r="R2599" s="243"/>
      <c r="S2599" s="385" t="str">
        <f t="shared" si="521"/>
        <v/>
      </c>
    </row>
    <row r="2600" spans="2:19" ht="13.5" hidden="1" thickBot="1">
      <c r="B2600" s="625" t="s">
        <v>187</v>
      </c>
      <c r="C2600" s="401" t="s">
        <v>187</v>
      </c>
      <c r="D2600" s="410"/>
      <c r="E2600" s="403"/>
      <c r="F2600" s="411"/>
      <c r="G2600" s="405"/>
      <c r="H2600" s="404"/>
      <c r="I2600" s="406"/>
      <c r="J2600" s="407"/>
      <c r="K2600" s="412">
        <f t="shared" si="526"/>
        <v>0</v>
      </c>
      <c r="L2600" s="409" t="s">
        <v>777</v>
      </c>
      <c r="M2600" s="30"/>
      <c r="N2600" s="30"/>
      <c r="O2600" s="287">
        <f t="shared" si="529"/>
        <v>0</v>
      </c>
      <c r="P2600" s="287">
        <f t="shared" si="528"/>
        <v>0</v>
      </c>
      <c r="Q2600" s="288"/>
      <c r="R2600" s="243"/>
      <c r="S2600" s="385" t="str">
        <f t="shared" si="521"/>
        <v/>
      </c>
    </row>
    <row r="2601" spans="2:19" ht="13.5" hidden="1" thickBot="1">
      <c r="B2601" s="625" t="s">
        <v>187</v>
      </c>
      <c r="C2601" s="401" t="s">
        <v>187</v>
      </c>
      <c r="D2601" s="410"/>
      <c r="E2601" s="403"/>
      <c r="F2601" s="411"/>
      <c r="G2601" s="405"/>
      <c r="H2601" s="404"/>
      <c r="I2601" s="406"/>
      <c r="J2601" s="407"/>
      <c r="K2601" s="412">
        <f t="shared" si="526"/>
        <v>0</v>
      </c>
      <c r="L2601" s="409" t="s">
        <v>777</v>
      </c>
      <c r="M2601" s="30"/>
      <c r="N2601" s="30"/>
      <c r="O2601" s="287">
        <f t="shared" si="529"/>
        <v>0</v>
      </c>
      <c r="P2601" s="287">
        <f t="shared" si="528"/>
        <v>0</v>
      </c>
      <c r="Q2601" s="288"/>
      <c r="R2601" s="243"/>
      <c r="S2601" s="385" t="str">
        <f t="shared" si="521"/>
        <v/>
      </c>
    </row>
    <row r="2602" spans="2:19" ht="13.5" hidden="1" thickBot="1">
      <c r="B2602" s="625" t="s">
        <v>187</v>
      </c>
      <c r="C2602" s="401" t="s">
        <v>187</v>
      </c>
      <c r="D2602" s="410"/>
      <c r="E2602" s="403"/>
      <c r="F2602" s="411"/>
      <c r="G2602" s="405"/>
      <c r="H2602" s="404"/>
      <c r="I2602" s="406"/>
      <c r="J2602" s="407"/>
      <c r="K2602" s="412">
        <f t="shared" si="526"/>
        <v>0</v>
      </c>
      <c r="L2602" s="409" t="s">
        <v>777</v>
      </c>
      <c r="M2602" s="30"/>
      <c r="N2602" s="30"/>
      <c r="O2602" s="287">
        <f t="shared" si="529"/>
        <v>0</v>
      </c>
      <c r="P2602" s="287">
        <f t="shared" si="528"/>
        <v>0</v>
      </c>
      <c r="Q2602" s="288"/>
      <c r="R2602" s="243"/>
      <c r="S2602" s="385" t="str">
        <f t="shared" si="521"/>
        <v/>
      </c>
    </row>
    <row r="2603" spans="2:19" ht="13.5" hidden="1" thickBot="1">
      <c r="B2603" s="625" t="s">
        <v>187</v>
      </c>
      <c r="C2603" s="401" t="s">
        <v>187</v>
      </c>
      <c r="D2603" s="410"/>
      <c r="E2603" s="403"/>
      <c r="F2603" s="411"/>
      <c r="G2603" s="405"/>
      <c r="H2603" s="404"/>
      <c r="I2603" s="406"/>
      <c r="J2603" s="407"/>
      <c r="K2603" s="412">
        <f t="shared" si="526"/>
        <v>0</v>
      </c>
      <c r="L2603" s="409" t="s">
        <v>777</v>
      </c>
      <c r="M2603" s="30"/>
      <c r="N2603" s="30"/>
      <c r="O2603" s="287">
        <f t="shared" si="529"/>
        <v>0</v>
      </c>
      <c r="P2603" s="287">
        <f t="shared" si="528"/>
        <v>0</v>
      </c>
      <c r="Q2603" s="288"/>
      <c r="R2603" s="243"/>
      <c r="S2603" s="385" t="str">
        <f t="shared" si="521"/>
        <v/>
      </c>
    </row>
    <row r="2604" spans="2:19" ht="13.5" hidden="1" thickBot="1">
      <c r="B2604" s="625" t="s">
        <v>187</v>
      </c>
      <c r="C2604" s="401" t="s">
        <v>187</v>
      </c>
      <c r="D2604" s="410"/>
      <c r="E2604" s="403"/>
      <c r="F2604" s="411"/>
      <c r="G2604" s="405"/>
      <c r="H2604" s="404"/>
      <c r="I2604" s="406"/>
      <c r="J2604" s="407"/>
      <c r="K2604" s="412">
        <f t="shared" si="526"/>
        <v>0</v>
      </c>
      <c r="L2604" s="409" t="s">
        <v>777</v>
      </c>
      <c r="M2604" s="30"/>
      <c r="N2604" s="30"/>
      <c r="O2604" s="287">
        <f t="shared" si="529"/>
        <v>0</v>
      </c>
      <c r="P2604" s="287">
        <f t="shared" si="528"/>
        <v>0</v>
      </c>
      <c r="Q2604" s="288"/>
      <c r="R2604" s="243"/>
      <c r="S2604" s="385" t="str">
        <f t="shared" si="521"/>
        <v/>
      </c>
    </row>
    <row r="2605" spans="2:19" ht="13.5" hidden="1" thickBot="1">
      <c r="B2605" s="625" t="s">
        <v>187</v>
      </c>
      <c r="C2605" s="401" t="s">
        <v>187</v>
      </c>
      <c r="D2605" s="410"/>
      <c r="E2605" s="403"/>
      <c r="F2605" s="411"/>
      <c r="G2605" s="405"/>
      <c r="H2605" s="404"/>
      <c r="I2605" s="406"/>
      <c r="J2605" s="407"/>
      <c r="K2605" s="412">
        <f t="shared" si="526"/>
        <v>0</v>
      </c>
      <c r="L2605" s="409" t="s">
        <v>777</v>
      </c>
      <c r="M2605" s="30"/>
      <c r="N2605" s="30"/>
      <c r="O2605" s="287">
        <f t="shared" si="529"/>
        <v>0</v>
      </c>
      <c r="P2605" s="287">
        <f t="shared" si="528"/>
        <v>0</v>
      </c>
      <c r="Q2605" s="288"/>
      <c r="R2605" s="243"/>
      <c r="S2605" s="385" t="str">
        <f t="shared" si="521"/>
        <v/>
      </c>
    </row>
    <row r="2606" spans="2:19" ht="13.5" hidden="1" thickBot="1">
      <c r="B2606" s="625" t="s">
        <v>187</v>
      </c>
      <c r="C2606" s="401" t="s">
        <v>187</v>
      </c>
      <c r="D2606" s="410"/>
      <c r="E2606" s="403"/>
      <c r="F2606" s="411"/>
      <c r="G2606" s="405"/>
      <c r="H2606" s="404"/>
      <c r="I2606" s="406"/>
      <c r="J2606" s="407"/>
      <c r="K2606" s="412">
        <f t="shared" si="526"/>
        <v>0</v>
      </c>
      <c r="L2606" s="409" t="s">
        <v>777</v>
      </c>
      <c r="M2606" s="30"/>
      <c r="N2606" s="30"/>
      <c r="O2606" s="287">
        <f t="shared" si="529"/>
        <v>0</v>
      </c>
      <c r="P2606" s="287">
        <f t="shared" si="528"/>
        <v>0</v>
      </c>
      <c r="Q2606" s="288"/>
      <c r="R2606" s="243"/>
      <c r="S2606" s="385" t="str">
        <f t="shared" si="521"/>
        <v/>
      </c>
    </row>
    <row r="2607" spans="2:19" ht="13.5" hidden="1" thickBot="1">
      <c r="B2607" s="625" t="s">
        <v>187</v>
      </c>
      <c r="C2607" s="401" t="s">
        <v>187</v>
      </c>
      <c r="D2607" s="410"/>
      <c r="E2607" s="403"/>
      <c r="F2607" s="411"/>
      <c r="G2607" s="405"/>
      <c r="H2607" s="404"/>
      <c r="I2607" s="406"/>
      <c r="J2607" s="407"/>
      <c r="K2607" s="412">
        <f t="shared" si="526"/>
        <v>0</v>
      </c>
      <c r="L2607" s="409" t="s">
        <v>777</v>
      </c>
      <c r="M2607" s="30"/>
      <c r="N2607" s="30"/>
      <c r="O2607" s="287">
        <f t="shared" si="529"/>
        <v>0</v>
      </c>
      <c r="P2607" s="287">
        <f t="shared" si="528"/>
        <v>0</v>
      </c>
      <c r="Q2607" s="288"/>
      <c r="R2607" s="243"/>
      <c r="S2607" s="385" t="str">
        <f t="shared" si="521"/>
        <v/>
      </c>
    </row>
    <row r="2608" spans="2:19" ht="13.5" hidden="1" thickBot="1">
      <c r="B2608" s="625" t="s">
        <v>187</v>
      </c>
      <c r="C2608" s="401" t="s">
        <v>187</v>
      </c>
      <c r="D2608" s="410"/>
      <c r="E2608" s="403"/>
      <c r="F2608" s="411"/>
      <c r="G2608" s="405"/>
      <c r="H2608" s="404"/>
      <c r="I2608" s="406"/>
      <c r="J2608" s="407"/>
      <c r="K2608" s="412">
        <f t="shared" si="526"/>
        <v>0</v>
      </c>
      <c r="L2608" s="409" t="s">
        <v>777</v>
      </c>
      <c r="M2608" s="30"/>
      <c r="N2608" s="30"/>
      <c r="O2608" s="287">
        <f t="shared" si="529"/>
        <v>0</v>
      </c>
      <c r="P2608" s="287">
        <f t="shared" si="528"/>
        <v>0</v>
      </c>
      <c r="Q2608" s="288"/>
      <c r="R2608" s="243"/>
      <c r="S2608" s="385" t="str">
        <f t="shared" si="521"/>
        <v/>
      </c>
    </row>
    <row r="2609" spans="2:20" ht="13.5" hidden="1" thickBot="1">
      <c r="B2609" s="625" t="s">
        <v>187</v>
      </c>
      <c r="C2609" s="401" t="s">
        <v>187</v>
      </c>
      <c r="D2609" s="410"/>
      <c r="E2609" s="403"/>
      <c r="F2609" s="411"/>
      <c r="G2609" s="405"/>
      <c r="H2609" s="404"/>
      <c r="I2609" s="406"/>
      <c r="J2609" s="407"/>
      <c r="K2609" s="412">
        <f t="shared" si="526"/>
        <v>0</v>
      </c>
      <c r="L2609" s="409" t="s">
        <v>777</v>
      </c>
      <c r="M2609" s="30"/>
      <c r="N2609" s="30"/>
      <c r="O2609" s="287">
        <f t="shared" si="529"/>
        <v>0</v>
      </c>
      <c r="P2609" s="287">
        <f t="shared" si="528"/>
        <v>0</v>
      </c>
      <c r="Q2609" s="288"/>
      <c r="R2609" s="243"/>
      <c r="S2609" s="385" t="str">
        <f t="shared" si="521"/>
        <v/>
      </c>
    </row>
    <row r="2610" spans="2:20" ht="13.5" hidden="1" thickBot="1">
      <c r="B2610" s="625" t="s">
        <v>187</v>
      </c>
      <c r="C2610" s="401" t="s">
        <v>187</v>
      </c>
      <c r="D2610" s="410"/>
      <c r="E2610" s="403"/>
      <c r="F2610" s="411"/>
      <c r="G2610" s="405"/>
      <c r="H2610" s="404"/>
      <c r="I2610" s="406"/>
      <c r="J2610" s="407"/>
      <c r="K2610" s="412">
        <f t="shared" si="526"/>
        <v>0</v>
      </c>
      <c r="L2610" s="409" t="s">
        <v>777</v>
      </c>
      <c r="M2610" s="30"/>
      <c r="N2610" s="30"/>
      <c r="O2610" s="287">
        <f t="shared" si="529"/>
        <v>0</v>
      </c>
      <c r="P2610" s="287">
        <f t="shared" si="528"/>
        <v>0</v>
      </c>
      <c r="Q2610" s="288"/>
      <c r="R2610" s="243"/>
      <c r="S2610" s="385" t="str">
        <f t="shared" si="521"/>
        <v/>
      </c>
    </row>
    <row r="2611" spans="2:20" ht="13.5" hidden="1" thickBot="1">
      <c r="B2611" s="625" t="s">
        <v>187</v>
      </c>
      <c r="C2611" s="401" t="s">
        <v>187</v>
      </c>
      <c r="D2611" s="410"/>
      <c r="E2611" s="403"/>
      <c r="F2611" s="411"/>
      <c r="G2611" s="405"/>
      <c r="H2611" s="404"/>
      <c r="I2611" s="406"/>
      <c r="J2611" s="407"/>
      <c r="K2611" s="412">
        <f t="shared" si="526"/>
        <v>0</v>
      </c>
      <c r="L2611" s="409" t="s">
        <v>777</v>
      </c>
      <c r="M2611" s="30"/>
      <c r="N2611" s="30"/>
      <c r="O2611" s="287">
        <f t="shared" si="529"/>
        <v>0</v>
      </c>
      <c r="P2611" s="287">
        <f t="shared" si="528"/>
        <v>0</v>
      </c>
      <c r="Q2611" s="288"/>
      <c r="R2611" s="243"/>
      <c r="S2611" s="385" t="str">
        <f t="shared" si="521"/>
        <v/>
      </c>
    </row>
    <row r="2612" spans="2:20" ht="13.5" hidden="1" thickBot="1">
      <c r="B2612" s="625" t="s">
        <v>187</v>
      </c>
      <c r="C2612" s="401" t="s">
        <v>187</v>
      </c>
      <c r="D2612" s="410"/>
      <c r="E2612" s="403"/>
      <c r="F2612" s="411"/>
      <c r="G2612" s="405"/>
      <c r="H2612" s="404"/>
      <c r="I2612" s="406"/>
      <c r="J2612" s="407"/>
      <c r="K2612" s="412">
        <f t="shared" si="526"/>
        <v>0</v>
      </c>
      <c r="L2612" s="409" t="s">
        <v>777</v>
      </c>
      <c r="M2612" s="30"/>
      <c r="N2612" s="30"/>
      <c r="O2612" s="287">
        <f t="shared" si="529"/>
        <v>0</v>
      </c>
      <c r="P2612" s="287">
        <f t="shared" si="528"/>
        <v>0</v>
      </c>
      <c r="Q2612" s="288"/>
      <c r="R2612" s="243"/>
      <c r="S2612" s="385" t="str">
        <f t="shared" si="521"/>
        <v/>
      </c>
    </row>
    <row r="2613" spans="2:20" ht="13.5" hidden="1" thickBot="1">
      <c r="B2613" s="625" t="s">
        <v>187</v>
      </c>
      <c r="C2613" s="401" t="s">
        <v>187</v>
      </c>
      <c r="D2613" s="410"/>
      <c r="E2613" s="403"/>
      <c r="F2613" s="411"/>
      <c r="G2613" s="405"/>
      <c r="H2613" s="404"/>
      <c r="I2613" s="406"/>
      <c r="J2613" s="407"/>
      <c r="K2613" s="412">
        <f t="shared" si="526"/>
        <v>0</v>
      </c>
      <c r="L2613" s="409" t="s">
        <v>777</v>
      </c>
      <c r="M2613" s="30"/>
      <c r="N2613" s="30"/>
      <c r="O2613" s="287">
        <f t="shared" si="529"/>
        <v>0</v>
      </c>
      <c r="P2613" s="287">
        <f t="shared" si="528"/>
        <v>0</v>
      </c>
      <c r="Q2613" s="288"/>
      <c r="R2613" s="243"/>
      <c r="S2613" s="385" t="str">
        <f t="shared" si="521"/>
        <v/>
      </c>
    </row>
    <row r="2614" spans="2:20" ht="13.5" hidden="1" thickBot="1">
      <c r="B2614" s="625" t="s">
        <v>187</v>
      </c>
      <c r="C2614" s="401" t="s">
        <v>187</v>
      </c>
      <c r="D2614" s="410"/>
      <c r="E2614" s="403"/>
      <c r="F2614" s="411"/>
      <c r="G2614" s="405"/>
      <c r="H2614" s="404"/>
      <c r="I2614" s="406"/>
      <c r="J2614" s="407"/>
      <c r="K2614" s="412">
        <f t="shared" si="526"/>
        <v>0</v>
      </c>
      <c r="L2614" s="409" t="s">
        <v>777</v>
      </c>
      <c r="M2614" s="30"/>
      <c r="N2614" s="30"/>
      <c r="O2614" s="287">
        <f t="shared" si="529"/>
        <v>0</v>
      </c>
      <c r="P2614" s="287">
        <f t="shared" si="528"/>
        <v>0</v>
      </c>
      <c r="Q2614" s="288"/>
      <c r="R2614" s="243"/>
      <c r="S2614" s="385" t="str">
        <f t="shared" si="521"/>
        <v/>
      </c>
    </row>
    <row r="2615" spans="2:20" ht="13.5" hidden="1" thickBot="1">
      <c r="B2615" s="625" t="s">
        <v>187</v>
      </c>
      <c r="C2615" s="401" t="s">
        <v>187</v>
      </c>
      <c r="D2615" s="410"/>
      <c r="E2615" s="403"/>
      <c r="F2615" s="411"/>
      <c r="G2615" s="405"/>
      <c r="H2615" s="404"/>
      <c r="I2615" s="406"/>
      <c r="J2615" s="407"/>
      <c r="K2615" s="412">
        <f t="shared" si="526"/>
        <v>0</v>
      </c>
      <c r="L2615" s="409" t="s">
        <v>777</v>
      </c>
      <c r="M2615" s="30"/>
      <c r="N2615" s="30"/>
      <c r="O2615" s="287">
        <f t="shared" si="529"/>
        <v>0</v>
      </c>
      <c r="P2615" s="287">
        <f t="shared" si="528"/>
        <v>0</v>
      </c>
      <c r="Q2615" s="288"/>
      <c r="R2615" s="243"/>
      <c r="S2615" s="385" t="str">
        <f t="shared" si="521"/>
        <v/>
      </c>
    </row>
    <row r="2616" spans="2:20" ht="13.5" hidden="1" thickBot="1">
      <c r="B2616" s="625" t="s">
        <v>187</v>
      </c>
      <c r="C2616" s="401" t="s">
        <v>187</v>
      </c>
      <c r="D2616" s="414"/>
      <c r="E2616" s="403"/>
      <c r="F2616" s="411"/>
      <c r="G2616" s="405"/>
      <c r="H2616" s="404"/>
      <c r="I2616" s="406"/>
      <c r="J2616" s="407"/>
      <c r="K2616" s="412">
        <f t="shared" si="526"/>
        <v>0</v>
      </c>
      <c r="L2616" s="409" t="s">
        <v>777</v>
      </c>
      <c r="M2616" s="30"/>
      <c r="N2616" s="30"/>
      <c r="O2616" s="287">
        <f t="shared" si="529"/>
        <v>0</v>
      </c>
      <c r="P2616" s="287">
        <f t="shared" si="528"/>
        <v>0</v>
      </c>
      <c r="Q2616" s="288"/>
      <c r="R2616" s="243"/>
      <c r="S2616" s="385" t="str">
        <f t="shared" si="521"/>
        <v/>
      </c>
    </row>
    <row r="2617" spans="2:20" ht="39" thickBot="1">
      <c r="B2617" s="627" t="s">
        <v>758</v>
      </c>
      <c r="C2617" s="426"/>
      <c r="D2617" s="427" t="s">
        <v>972</v>
      </c>
      <c r="E2617" s="424"/>
      <c r="F2617" s="380"/>
      <c r="G2617" s="381"/>
      <c r="H2617" s="382"/>
      <c r="I2617" s="383"/>
      <c r="J2617" s="383"/>
      <c r="K2617" s="383"/>
      <c r="L2617" s="383" t="s">
        <v>777</v>
      </c>
      <c r="M2617" s="382"/>
      <c r="N2617" s="383"/>
      <c r="O2617" s="383"/>
      <c r="P2617" s="295"/>
      <c r="Q2617" s="296">
        <f>SUM(P2618:P2662)</f>
        <v>14425.36</v>
      </c>
      <c r="R2617" s="384" t="str">
        <f>IF(Q2617&gt;0,"X","")</f>
        <v>X</v>
      </c>
      <c r="S2617" s="385" t="str">
        <f t="shared" si="521"/>
        <v>x</v>
      </c>
    </row>
    <row r="2618" spans="2:20" s="244" customFormat="1">
      <c r="B2618" s="609" t="s">
        <v>807</v>
      </c>
      <c r="C2618" s="301" t="s">
        <v>775</v>
      </c>
      <c r="D2618" s="390" t="s">
        <v>759</v>
      </c>
      <c r="E2618" s="602"/>
      <c r="F2618" s="603">
        <v>0</v>
      </c>
      <c r="G2618" s="604">
        <v>0</v>
      </c>
      <c r="H2618" s="605">
        <v>0</v>
      </c>
      <c r="I2618" s="388">
        <v>116.98</v>
      </c>
      <c r="J2618" s="387">
        <f>IF(ISBLANK(I2618),"",SUM(H2618:I2618))</f>
        <v>116.98</v>
      </c>
      <c r="K2618" s="606">
        <f t="shared" ref="K2618:K2630" si="530">IF(ISBLANK(I2618),0,ROUND(J2618*(1+$F$10)*(1+$F$11*E2618),2))</f>
        <v>141.96</v>
      </c>
      <c r="L2618" s="607" t="s">
        <v>21</v>
      </c>
      <c r="M2618" s="30">
        <v>8</v>
      </c>
      <c r="N2618" s="30">
        <v>141.96</v>
      </c>
      <c r="O2618" s="287">
        <f t="shared" ref="O2618:O2630" si="531">IF(ISBLANK(M2618),0,ROUND(K2618*M2618,2))</f>
        <v>1135.68</v>
      </c>
      <c r="P2618" s="287">
        <f t="shared" ref="P2618:P2630" si="532">IF(ISBLANK(N2618),0,ROUND(M2618*N2618,2))</f>
        <v>1135.68</v>
      </c>
      <c r="Q2618" s="288"/>
      <c r="R2618" s="243" t="s">
        <v>174</v>
      </c>
      <c r="S2618" s="385" t="str">
        <f t="shared" si="521"/>
        <v>x</v>
      </c>
      <c r="T2618" s="244" t="s">
        <v>174</v>
      </c>
    </row>
    <row r="2619" spans="2:20" s="244" customFormat="1">
      <c r="B2619" s="609" t="s">
        <v>807</v>
      </c>
      <c r="C2619" s="301" t="s">
        <v>775</v>
      </c>
      <c r="D2619" s="390" t="s">
        <v>760</v>
      </c>
      <c r="E2619" s="602"/>
      <c r="F2619" s="603">
        <v>0</v>
      </c>
      <c r="G2619" s="604">
        <v>0</v>
      </c>
      <c r="H2619" s="605">
        <v>0</v>
      </c>
      <c r="I2619" s="388">
        <v>116.98</v>
      </c>
      <c r="J2619" s="387">
        <f t="shared" ref="J2619:J2627" si="533">IF(ISBLANK(I2619),"",SUM(H2619:I2619))</f>
        <v>116.98</v>
      </c>
      <c r="K2619" s="606">
        <f t="shared" si="530"/>
        <v>141.96</v>
      </c>
      <c r="L2619" s="607" t="s">
        <v>21</v>
      </c>
      <c r="M2619" s="30">
        <v>8</v>
      </c>
      <c r="N2619" s="30">
        <v>141.96</v>
      </c>
      <c r="O2619" s="287">
        <f t="shared" si="531"/>
        <v>1135.68</v>
      </c>
      <c r="P2619" s="287">
        <f t="shared" si="532"/>
        <v>1135.68</v>
      </c>
      <c r="Q2619" s="288"/>
      <c r="R2619" s="243" t="s">
        <v>174</v>
      </c>
      <c r="S2619" s="385" t="str">
        <f t="shared" si="521"/>
        <v>x</v>
      </c>
      <c r="T2619" s="244" t="s">
        <v>174</v>
      </c>
    </row>
    <row r="2620" spans="2:20" s="244" customFormat="1" ht="25.5">
      <c r="B2620" s="609" t="s">
        <v>807</v>
      </c>
      <c r="C2620" s="301" t="s">
        <v>775</v>
      </c>
      <c r="D2620" s="390" t="s">
        <v>761</v>
      </c>
      <c r="E2620" s="602"/>
      <c r="F2620" s="603">
        <v>0</v>
      </c>
      <c r="G2620" s="604"/>
      <c r="H2620" s="605"/>
      <c r="I2620" s="388">
        <v>116.98</v>
      </c>
      <c r="J2620" s="387">
        <f t="shared" si="533"/>
        <v>116.98</v>
      </c>
      <c r="K2620" s="606">
        <f t="shared" si="530"/>
        <v>141.96</v>
      </c>
      <c r="L2620" s="607" t="s">
        <v>21</v>
      </c>
      <c r="M2620" s="30">
        <v>8</v>
      </c>
      <c r="N2620" s="30">
        <v>141.96</v>
      </c>
      <c r="O2620" s="287">
        <f t="shared" si="531"/>
        <v>1135.68</v>
      </c>
      <c r="P2620" s="287">
        <f t="shared" si="532"/>
        <v>1135.68</v>
      </c>
      <c r="Q2620" s="288"/>
      <c r="R2620" s="243" t="s">
        <v>174</v>
      </c>
      <c r="S2620" s="385" t="str">
        <f t="shared" si="521"/>
        <v>x</v>
      </c>
      <c r="T2620" s="244" t="s">
        <v>174</v>
      </c>
    </row>
    <row r="2621" spans="2:20" s="244" customFormat="1">
      <c r="B2621" s="609" t="s">
        <v>807</v>
      </c>
      <c r="C2621" s="301" t="s">
        <v>775</v>
      </c>
      <c r="D2621" s="390" t="s">
        <v>762</v>
      </c>
      <c r="E2621" s="602"/>
      <c r="F2621" s="603">
        <v>0</v>
      </c>
      <c r="G2621" s="604"/>
      <c r="H2621" s="605"/>
      <c r="I2621" s="388">
        <v>116.98</v>
      </c>
      <c r="J2621" s="387">
        <f t="shared" si="533"/>
        <v>116.98</v>
      </c>
      <c r="K2621" s="606">
        <f t="shared" si="530"/>
        <v>141.96</v>
      </c>
      <c r="L2621" s="607" t="s">
        <v>21</v>
      </c>
      <c r="M2621" s="30">
        <v>8</v>
      </c>
      <c r="N2621" s="30">
        <v>141.96</v>
      </c>
      <c r="O2621" s="287">
        <f t="shared" si="531"/>
        <v>1135.68</v>
      </c>
      <c r="P2621" s="287">
        <f t="shared" si="532"/>
        <v>1135.68</v>
      </c>
      <c r="Q2621" s="288"/>
      <c r="R2621" s="243" t="s">
        <v>174</v>
      </c>
      <c r="S2621" s="385" t="str">
        <f t="shared" si="521"/>
        <v>x</v>
      </c>
      <c r="T2621" s="244" t="s">
        <v>174</v>
      </c>
    </row>
    <row r="2622" spans="2:20" s="244" customFormat="1">
      <c r="B2622" s="609" t="s">
        <v>808</v>
      </c>
      <c r="C2622" s="301" t="s">
        <v>775</v>
      </c>
      <c r="D2622" s="390" t="s">
        <v>763</v>
      </c>
      <c r="E2622" s="602"/>
      <c r="F2622" s="603">
        <v>0</v>
      </c>
      <c r="G2622" s="604"/>
      <c r="H2622" s="605"/>
      <c r="I2622" s="388">
        <v>119.27</v>
      </c>
      <c r="J2622" s="387">
        <f t="shared" si="533"/>
        <v>119.27</v>
      </c>
      <c r="K2622" s="606">
        <f t="shared" si="530"/>
        <v>144.72999999999999</v>
      </c>
      <c r="L2622" s="607" t="s">
        <v>21</v>
      </c>
      <c r="M2622" s="30">
        <v>8</v>
      </c>
      <c r="N2622" s="30">
        <v>144.72999999999999</v>
      </c>
      <c r="O2622" s="287">
        <f t="shared" si="531"/>
        <v>1157.8399999999999</v>
      </c>
      <c r="P2622" s="287">
        <f t="shared" si="532"/>
        <v>1157.8399999999999</v>
      </c>
      <c r="Q2622" s="288"/>
      <c r="R2622" s="243" t="s">
        <v>174</v>
      </c>
      <c r="S2622" s="385" t="str">
        <f t="shared" si="521"/>
        <v>x</v>
      </c>
      <c r="T2622" s="244" t="s">
        <v>174</v>
      </c>
    </row>
    <row r="2623" spans="2:20" s="244" customFormat="1" hidden="1">
      <c r="B2623" s="609" t="s">
        <v>764</v>
      </c>
      <c r="C2623" s="301" t="s">
        <v>809</v>
      </c>
      <c r="D2623" s="428" t="s">
        <v>765</v>
      </c>
      <c r="E2623" s="602"/>
      <c r="F2623" s="603"/>
      <c r="G2623" s="604"/>
      <c r="H2623" s="605"/>
      <c r="I2623" s="388">
        <v>78.64</v>
      </c>
      <c r="J2623" s="387">
        <f t="shared" si="533"/>
        <v>78.64</v>
      </c>
      <c r="K2623" s="606">
        <f t="shared" si="530"/>
        <v>95.43</v>
      </c>
      <c r="L2623" s="607" t="s">
        <v>21</v>
      </c>
      <c r="M2623" s="30"/>
      <c r="N2623" s="30"/>
      <c r="O2623" s="287">
        <f t="shared" si="531"/>
        <v>0</v>
      </c>
      <c r="P2623" s="287">
        <f t="shared" si="532"/>
        <v>0</v>
      </c>
      <c r="Q2623" s="288"/>
      <c r="R2623" s="243"/>
      <c r="S2623" s="385" t="str">
        <f t="shared" si="521"/>
        <v/>
      </c>
    </row>
    <row r="2624" spans="2:20" s="244" customFormat="1" hidden="1">
      <c r="B2624" s="609" t="s">
        <v>766</v>
      </c>
      <c r="C2624" s="301" t="s">
        <v>809</v>
      </c>
      <c r="D2624" s="428" t="s">
        <v>767</v>
      </c>
      <c r="E2624" s="602"/>
      <c r="F2624" s="603"/>
      <c r="G2624" s="604"/>
      <c r="H2624" s="605"/>
      <c r="I2624" s="388">
        <v>46.05</v>
      </c>
      <c r="J2624" s="387">
        <f t="shared" si="533"/>
        <v>46.05</v>
      </c>
      <c r="K2624" s="606">
        <f t="shared" si="530"/>
        <v>55.88</v>
      </c>
      <c r="L2624" s="607" t="s">
        <v>21</v>
      </c>
      <c r="M2624" s="30"/>
      <c r="N2624" s="30"/>
      <c r="O2624" s="287">
        <f t="shared" si="531"/>
        <v>0</v>
      </c>
      <c r="P2624" s="287">
        <f t="shared" si="532"/>
        <v>0</v>
      </c>
      <c r="Q2624" s="288"/>
      <c r="R2624" s="243"/>
      <c r="S2624" s="385" t="str">
        <f t="shared" si="521"/>
        <v/>
      </c>
    </row>
    <row r="2625" spans="2:20" s="244" customFormat="1">
      <c r="B2625" s="609" t="s">
        <v>849</v>
      </c>
      <c r="C2625" s="301" t="s">
        <v>775</v>
      </c>
      <c r="D2625" s="428" t="s">
        <v>768</v>
      </c>
      <c r="E2625" s="602"/>
      <c r="F2625" s="603"/>
      <c r="G2625" s="604"/>
      <c r="H2625" s="605"/>
      <c r="I2625" s="388">
        <v>141.66</v>
      </c>
      <c r="J2625" s="387">
        <f t="shared" si="533"/>
        <v>141.66</v>
      </c>
      <c r="K2625" s="606">
        <f t="shared" si="530"/>
        <v>171.9</v>
      </c>
      <c r="L2625" s="607" t="s">
        <v>21</v>
      </c>
      <c r="M2625" s="30">
        <v>4</v>
      </c>
      <c r="N2625" s="30">
        <v>171.9</v>
      </c>
      <c r="O2625" s="287">
        <f t="shared" si="531"/>
        <v>687.6</v>
      </c>
      <c r="P2625" s="287">
        <f t="shared" si="532"/>
        <v>687.6</v>
      </c>
      <c r="Q2625" s="288"/>
      <c r="R2625" s="243" t="s">
        <v>174</v>
      </c>
      <c r="S2625" s="385" t="str">
        <f t="shared" si="521"/>
        <v>x</v>
      </c>
      <c r="T2625" s="244" t="s">
        <v>174</v>
      </c>
    </row>
    <row r="2626" spans="2:20" s="244" customFormat="1">
      <c r="B2626" s="609" t="s">
        <v>769</v>
      </c>
      <c r="C2626" s="301" t="s">
        <v>809</v>
      </c>
      <c r="D2626" s="390" t="s">
        <v>770</v>
      </c>
      <c r="E2626" s="602"/>
      <c r="F2626" s="603"/>
      <c r="G2626" s="604"/>
      <c r="H2626" s="605"/>
      <c r="I2626" s="388">
        <v>82.87</v>
      </c>
      <c r="J2626" s="387">
        <f t="shared" si="533"/>
        <v>82.87</v>
      </c>
      <c r="K2626" s="606">
        <f t="shared" si="530"/>
        <v>100.56</v>
      </c>
      <c r="L2626" s="607" t="s">
        <v>21</v>
      </c>
      <c r="M2626" s="30">
        <v>4</v>
      </c>
      <c r="N2626" s="30">
        <v>100.56</v>
      </c>
      <c r="O2626" s="287">
        <f t="shared" si="531"/>
        <v>402.24</v>
      </c>
      <c r="P2626" s="287">
        <f t="shared" si="532"/>
        <v>402.24</v>
      </c>
      <c r="Q2626" s="288"/>
      <c r="R2626" s="243" t="s">
        <v>174</v>
      </c>
      <c r="S2626" s="385" t="str">
        <f t="shared" si="521"/>
        <v>x</v>
      </c>
      <c r="T2626" s="244" t="s">
        <v>174</v>
      </c>
    </row>
    <row r="2627" spans="2:20" s="244" customFormat="1">
      <c r="B2627" s="609" t="s">
        <v>771</v>
      </c>
      <c r="C2627" s="301" t="s">
        <v>809</v>
      </c>
      <c r="D2627" s="390" t="s">
        <v>772</v>
      </c>
      <c r="E2627" s="602"/>
      <c r="F2627" s="603"/>
      <c r="G2627" s="604"/>
      <c r="H2627" s="605"/>
      <c r="I2627" s="388">
        <v>67.53</v>
      </c>
      <c r="J2627" s="387">
        <f t="shared" si="533"/>
        <v>67.53</v>
      </c>
      <c r="K2627" s="606">
        <f t="shared" si="530"/>
        <v>81.95</v>
      </c>
      <c r="L2627" s="607" t="s">
        <v>21</v>
      </c>
      <c r="M2627" s="30">
        <v>4</v>
      </c>
      <c r="N2627" s="30">
        <v>81.95</v>
      </c>
      <c r="O2627" s="287">
        <f t="shared" si="531"/>
        <v>327.8</v>
      </c>
      <c r="P2627" s="287">
        <f t="shared" si="532"/>
        <v>327.8</v>
      </c>
      <c r="Q2627" s="288"/>
      <c r="R2627" s="243" t="s">
        <v>174</v>
      </c>
      <c r="S2627" s="385" t="str">
        <f t="shared" si="521"/>
        <v>x</v>
      </c>
      <c r="T2627" s="244" t="s">
        <v>174</v>
      </c>
    </row>
    <row r="2628" spans="2:20" s="244" customFormat="1">
      <c r="B2628" s="609" t="s">
        <v>1759</v>
      </c>
      <c r="C2628" s="301" t="s">
        <v>809</v>
      </c>
      <c r="D2628" s="390" t="s">
        <v>2082</v>
      </c>
      <c r="E2628" s="602"/>
      <c r="F2628" s="603"/>
      <c r="G2628" s="604"/>
      <c r="H2628" s="605"/>
      <c r="I2628" s="388">
        <v>182.39</v>
      </c>
      <c r="J2628" s="387">
        <f t="shared" ref="J2628:J2630" si="534">IF(ISBLANK(I2628),"",SUM(H2628:I2628))</f>
        <v>182.39</v>
      </c>
      <c r="K2628" s="606">
        <f t="shared" si="530"/>
        <v>221.33</v>
      </c>
      <c r="L2628" s="607" t="s">
        <v>21</v>
      </c>
      <c r="M2628" s="30">
        <v>4</v>
      </c>
      <c r="N2628" s="30">
        <v>221.33</v>
      </c>
      <c r="O2628" s="287">
        <f t="shared" si="531"/>
        <v>885.32</v>
      </c>
      <c r="P2628" s="287">
        <f t="shared" si="532"/>
        <v>885.32</v>
      </c>
      <c r="Q2628" s="288"/>
      <c r="R2628" s="243" t="s">
        <v>174</v>
      </c>
      <c r="S2628" s="385" t="str">
        <f t="shared" si="521"/>
        <v>x</v>
      </c>
      <c r="T2628" s="244" t="s">
        <v>174</v>
      </c>
    </row>
    <row r="2629" spans="2:20" s="244" customFormat="1">
      <c r="B2629" s="635" t="s">
        <v>811</v>
      </c>
      <c r="C2629" s="301" t="s">
        <v>775</v>
      </c>
      <c r="D2629" s="390" t="s">
        <v>2083</v>
      </c>
      <c r="E2629" s="602"/>
      <c r="F2629" s="603"/>
      <c r="G2629" s="604"/>
      <c r="H2629" s="605"/>
      <c r="I2629" s="388">
        <v>110.45</v>
      </c>
      <c r="J2629" s="387">
        <f t="shared" si="534"/>
        <v>110.45</v>
      </c>
      <c r="K2629" s="606">
        <f t="shared" si="530"/>
        <v>134.03</v>
      </c>
      <c r="L2629" s="607" t="s">
        <v>21</v>
      </c>
      <c r="M2629" s="30">
        <v>4</v>
      </c>
      <c r="N2629" s="30">
        <v>134.03</v>
      </c>
      <c r="O2629" s="287">
        <f t="shared" si="531"/>
        <v>536.12</v>
      </c>
      <c r="P2629" s="287">
        <f t="shared" si="532"/>
        <v>536.12</v>
      </c>
      <c r="Q2629" s="288"/>
      <c r="R2629" s="243" t="s">
        <v>174</v>
      </c>
      <c r="S2629" s="385" t="str">
        <f t="shared" si="521"/>
        <v>x</v>
      </c>
      <c r="T2629" s="244" t="s">
        <v>174</v>
      </c>
    </row>
    <row r="2630" spans="2:20" s="244" customFormat="1" ht="13.5" thickBot="1">
      <c r="B2630" s="609" t="s">
        <v>810</v>
      </c>
      <c r="C2630" s="301" t="s">
        <v>775</v>
      </c>
      <c r="D2630" s="390" t="s">
        <v>2084</v>
      </c>
      <c r="E2630" s="602"/>
      <c r="F2630" s="603"/>
      <c r="G2630" s="604"/>
      <c r="H2630" s="608"/>
      <c r="I2630" s="388">
        <v>4850.2</v>
      </c>
      <c r="J2630" s="387">
        <f t="shared" si="534"/>
        <v>4850.2</v>
      </c>
      <c r="K2630" s="606">
        <f t="shared" si="530"/>
        <v>5885.72</v>
      </c>
      <c r="L2630" s="607" t="s">
        <v>774</v>
      </c>
      <c r="M2630" s="30">
        <v>1</v>
      </c>
      <c r="N2630" s="30">
        <v>5885.72</v>
      </c>
      <c r="O2630" s="287">
        <f t="shared" si="531"/>
        <v>5885.72</v>
      </c>
      <c r="P2630" s="287">
        <f t="shared" si="532"/>
        <v>5885.72</v>
      </c>
      <c r="Q2630" s="288"/>
      <c r="R2630" s="243" t="s">
        <v>174</v>
      </c>
      <c r="S2630" s="385" t="str">
        <f t="shared" si="521"/>
        <v>x</v>
      </c>
      <c r="T2630" s="244" t="s">
        <v>174</v>
      </c>
    </row>
    <row r="2631" spans="2:20" ht="13.5" hidden="1" thickBot="1">
      <c r="B2631" s="624" t="s">
        <v>187</v>
      </c>
      <c r="C2631" s="393"/>
      <c r="D2631" s="394" t="s">
        <v>773</v>
      </c>
      <c r="E2631" s="395"/>
      <c r="F2631" s="396"/>
      <c r="G2631" s="397"/>
      <c r="H2631" s="398"/>
      <c r="I2631" s="399"/>
      <c r="J2631" s="399"/>
      <c r="K2631" s="399"/>
      <c r="L2631" s="399" t="s">
        <v>777</v>
      </c>
      <c r="M2631" s="398"/>
      <c r="N2631" s="399"/>
      <c r="O2631" s="399"/>
      <c r="P2631" s="400"/>
      <c r="Q2631" s="288"/>
      <c r="R2631" s="384" t="str">
        <f>IF(SUM(P2632:P2662)&gt;0,"y","")</f>
        <v/>
      </c>
      <c r="S2631" s="385" t="str">
        <f t="shared" si="521"/>
        <v/>
      </c>
    </row>
    <row r="2632" spans="2:20" ht="13.5" hidden="1" thickBot="1">
      <c r="B2632" s="625" t="s">
        <v>187</v>
      </c>
      <c r="C2632" s="401" t="s">
        <v>187</v>
      </c>
      <c r="D2632" s="402"/>
      <c r="E2632" s="403"/>
      <c r="F2632" s="411"/>
      <c r="G2632" s="405"/>
      <c r="H2632" s="404"/>
      <c r="I2632" s="406"/>
      <c r="J2632" s="407"/>
      <c r="K2632" s="408">
        <f t="shared" ref="K2632:K2662" si="535">IF(ISBLANK(J2632),0,ROUND(J2632*(1+$F$10)*(1+$F$11*E2632),2))</f>
        <v>0</v>
      </c>
      <c r="L2632" s="409" t="s">
        <v>777</v>
      </c>
      <c r="M2632" s="425"/>
      <c r="N2632" s="425"/>
      <c r="O2632" s="287">
        <f t="shared" ref="O2632" si="536">IF(ISBLANK(M2632),0,ROUND(K2632*M2632,2))</f>
        <v>0</v>
      </c>
      <c r="P2632" s="391">
        <f t="shared" ref="P2632:P2662" si="537">IF(ISBLANK(N2632),0,ROUND(M2632*N2632,2))</f>
        <v>0</v>
      </c>
      <c r="Q2632" s="288"/>
      <c r="R2632" s="243"/>
      <c r="S2632" s="385" t="str">
        <f t="shared" ref="S2632:S2678" si="538">IF(R2632="x","x",IF(R2632="y","x",IF(R2632="xy","x",IF(P2632&gt;0,"x",""))))</f>
        <v/>
      </c>
    </row>
    <row r="2633" spans="2:20" ht="13.5" hidden="1" thickBot="1">
      <c r="B2633" s="625" t="s">
        <v>187</v>
      </c>
      <c r="C2633" s="401" t="s">
        <v>187</v>
      </c>
      <c r="D2633" s="402"/>
      <c r="E2633" s="403"/>
      <c r="F2633" s="411"/>
      <c r="G2633" s="405"/>
      <c r="H2633" s="404"/>
      <c r="I2633" s="406"/>
      <c r="J2633" s="407"/>
      <c r="K2633" s="412">
        <f t="shared" si="535"/>
        <v>0</v>
      </c>
      <c r="L2633" s="409" t="s">
        <v>777</v>
      </c>
      <c r="M2633" s="30"/>
      <c r="N2633" s="30"/>
      <c r="O2633" s="287">
        <f>IF(ISBLANK(M2633),0,ROUND(K2633*M2633,2))</f>
        <v>0</v>
      </c>
      <c r="P2633" s="287">
        <f t="shared" si="537"/>
        <v>0</v>
      </c>
      <c r="Q2633" s="288"/>
      <c r="R2633" s="243"/>
      <c r="S2633" s="385" t="str">
        <f t="shared" si="538"/>
        <v/>
      </c>
    </row>
    <row r="2634" spans="2:20" ht="13.5" hidden="1" thickBot="1">
      <c r="B2634" s="625" t="s">
        <v>187</v>
      </c>
      <c r="C2634" s="401" t="s">
        <v>187</v>
      </c>
      <c r="D2634" s="410"/>
      <c r="E2634" s="403"/>
      <c r="F2634" s="411"/>
      <c r="G2634" s="405"/>
      <c r="H2634" s="404"/>
      <c r="I2634" s="406"/>
      <c r="J2634" s="407"/>
      <c r="K2634" s="412">
        <f t="shared" si="535"/>
        <v>0</v>
      </c>
      <c r="L2634" s="409" t="s">
        <v>777</v>
      </c>
      <c r="M2634" s="30"/>
      <c r="N2634" s="30"/>
      <c r="O2634" s="287">
        <f t="shared" ref="O2634:O2662" si="539">IF(ISBLANK(M2634),0,ROUND(K2634*M2634,2))</f>
        <v>0</v>
      </c>
      <c r="P2634" s="287">
        <f t="shared" si="537"/>
        <v>0</v>
      </c>
      <c r="Q2634" s="288"/>
      <c r="R2634" s="243"/>
      <c r="S2634" s="385" t="str">
        <f t="shared" si="538"/>
        <v/>
      </c>
    </row>
    <row r="2635" spans="2:20" ht="13.5" hidden="1" thickBot="1">
      <c r="B2635" s="625" t="s">
        <v>187</v>
      </c>
      <c r="C2635" s="401" t="s">
        <v>187</v>
      </c>
      <c r="D2635" s="410"/>
      <c r="E2635" s="403"/>
      <c r="F2635" s="411"/>
      <c r="G2635" s="405"/>
      <c r="H2635" s="404"/>
      <c r="I2635" s="406"/>
      <c r="J2635" s="407"/>
      <c r="K2635" s="412">
        <f t="shared" si="535"/>
        <v>0</v>
      </c>
      <c r="L2635" s="409" t="s">
        <v>777</v>
      </c>
      <c r="M2635" s="30"/>
      <c r="N2635" s="30"/>
      <c r="O2635" s="287">
        <f t="shared" si="539"/>
        <v>0</v>
      </c>
      <c r="P2635" s="287">
        <f t="shared" si="537"/>
        <v>0</v>
      </c>
      <c r="Q2635" s="288"/>
      <c r="R2635" s="243"/>
      <c r="S2635" s="385" t="str">
        <f t="shared" si="538"/>
        <v/>
      </c>
    </row>
    <row r="2636" spans="2:20" ht="13.5" hidden="1" thickBot="1">
      <c r="B2636" s="625" t="s">
        <v>187</v>
      </c>
      <c r="C2636" s="401" t="s">
        <v>187</v>
      </c>
      <c r="D2636" s="410"/>
      <c r="E2636" s="403"/>
      <c r="F2636" s="411"/>
      <c r="G2636" s="405"/>
      <c r="H2636" s="404"/>
      <c r="I2636" s="406"/>
      <c r="J2636" s="407"/>
      <c r="K2636" s="412">
        <f t="shared" si="535"/>
        <v>0</v>
      </c>
      <c r="L2636" s="409" t="s">
        <v>777</v>
      </c>
      <c r="M2636" s="30"/>
      <c r="N2636" s="30"/>
      <c r="O2636" s="287">
        <f t="shared" si="539"/>
        <v>0</v>
      </c>
      <c r="P2636" s="287">
        <f t="shared" si="537"/>
        <v>0</v>
      </c>
      <c r="Q2636" s="288"/>
      <c r="R2636" s="243"/>
      <c r="S2636" s="385" t="str">
        <f t="shared" si="538"/>
        <v/>
      </c>
    </row>
    <row r="2637" spans="2:20" ht="13.5" hidden="1" thickBot="1">
      <c r="B2637" s="625" t="s">
        <v>187</v>
      </c>
      <c r="C2637" s="401" t="s">
        <v>187</v>
      </c>
      <c r="D2637" s="410"/>
      <c r="E2637" s="403"/>
      <c r="F2637" s="411"/>
      <c r="G2637" s="405"/>
      <c r="H2637" s="404"/>
      <c r="I2637" s="406"/>
      <c r="J2637" s="407"/>
      <c r="K2637" s="412">
        <f t="shared" si="535"/>
        <v>0</v>
      </c>
      <c r="L2637" s="409" t="s">
        <v>777</v>
      </c>
      <c r="M2637" s="30"/>
      <c r="N2637" s="30"/>
      <c r="O2637" s="287">
        <f t="shared" si="539"/>
        <v>0</v>
      </c>
      <c r="P2637" s="287">
        <f t="shared" si="537"/>
        <v>0</v>
      </c>
      <c r="Q2637" s="288"/>
      <c r="R2637" s="243"/>
      <c r="S2637" s="385" t="str">
        <f t="shared" si="538"/>
        <v/>
      </c>
    </row>
    <row r="2638" spans="2:20" ht="13.5" hidden="1" thickBot="1">
      <c r="B2638" s="625" t="s">
        <v>187</v>
      </c>
      <c r="C2638" s="401" t="s">
        <v>187</v>
      </c>
      <c r="D2638" s="410"/>
      <c r="E2638" s="403"/>
      <c r="F2638" s="411"/>
      <c r="G2638" s="405"/>
      <c r="H2638" s="404"/>
      <c r="I2638" s="406"/>
      <c r="J2638" s="407"/>
      <c r="K2638" s="412">
        <f t="shared" si="535"/>
        <v>0</v>
      </c>
      <c r="L2638" s="409" t="s">
        <v>777</v>
      </c>
      <c r="M2638" s="30"/>
      <c r="N2638" s="30"/>
      <c r="O2638" s="287">
        <f t="shared" si="539"/>
        <v>0</v>
      </c>
      <c r="P2638" s="287">
        <f t="shared" si="537"/>
        <v>0</v>
      </c>
      <c r="Q2638" s="288"/>
      <c r="R2638" s="243"/>
      <c r="S2638" s="385" t="str">
        <f t="shared" si="538"/>
        <v/>
      </c>
    </row>
    <row r="2639" spans="2:20" ht="13.5" hidden="1" thickBot="1">
      <c r="B2639" s="625" t="s">
        <v>187</v>
      </c>
      <c r="C2639" s="401" t="s">
        <v>187</v>
      </c>
      <c r="D2639" s="410"/>
      <c r="E2639" s="403"/>
      <c r="F2639" s="411"/>
      <c r="G2639" s="405"/>
      <c r="H2639" s="404"/>
      <c r="I2639" s="406"/>
      <c r="J2639" s="407"/>
      <c r="K2639" s="412">
        <f t="shared" si="535"/>
        <v>0</v>
      </c>
      <c r="L2639" s="409" t="s">
        <v>777</v>
      </c>
      <c r="M2639" s="30"/>
      <c r="N2639" s="30"/>
      <c r="O2639" s="287">
        <f t="shared" si="539"/>
        <v>0</v>
      </c>
      <c r="P2639" s="287">
        <f t="shared" si="537"/>
        <v>0</v>
      </c>
      <c r="Q2639" s="288"/>
      <c r="R2639" s="243"/>
      <c r="S2639" s="385" t="str">
        <f t="shared" si="538"/>
        <v/>
      </c>
    </row>
    <row r="2640" spans="2:20" ht="13.5" hidden="1" thickBot="1">
      <c r="B2640" s="625" t="s">
        <v>187</v>
      </c>
      <c r="C2640" s="401" t="s">
        <v>187</v>
      </c>
      <c r="D2640" s="410"/>
      <c r="E2640" s="403"/>
      <c r="F2640" s="411"/>
      <c r="G2640" s="405"/>
      <c r="H2640" s="404"/>
      <c r="I2640" s="406"/>
      <c r="J2640" s="407"/>
      <c r="K2640" s="412">
        <f t="shared" si="535"/>
        <v>0</v>
      </c>
      <c r="L2640" s="409" t="s">
        <v>777</v>
      </c>
      <c r="M2640" s="30"/>
      <c r="N2640" s="30"/>
      <c r="O2640" s="287">
        <f t="shared" si="539"/>
        <v>0</v>
      </c>
      <c r="P2640" s="287">
        <f t="shared" si="537"/>
        <v>0</v>
      </c>
      <c r="Q2640" s="288"/>
      <c r="R2640" s="243"/>
      <c r="S2640" s="385" t="str">
        <f t="shared" si="538"/>
        <v/>
      </c>
    </row>
    <row r="2641" spans="2:19" ht="13.5" hidden="1" thickBot="1">
      <c r="B2641" s="625" t="s">
        <v>187</v>
      </c>
      <c r="C2641" s="401" t="s">
        <v>187</v>
      </c>
      <c r="D2641" s="410"/>
      <c r="E2641" s="403"/>
      <c r="F2641" s="411"/>
      <c r="G2641" s="405"/>
      <c r="H2641" s="404"/>
      <c r="I2641" s="406"/>
      <c r="J2641" s="407"/>
      <c r="K2641" s="412">
        <f t="shared" si="535"/>
        <v>0</v>
      </c>
      <c r="L2641" s="409" t="s">
        <v>777</v>
      </c>
      <c r="M2641" s="30"/>
      <c r="N2641" s="30"/>
      <c r="O2641" s="287">
        <f t="shared" si="539"/>
        <v>0</v>
      </c>
      <c r="P2641" s="287">
        <f t="shared" si="537"/>
        <v>0</v>
      </c>
      <c r="Q2641" s="288"/>
      <c r="R2641" s="243"/>
      <c r="S2641" s="385" t="str">
        <f t="shared" si="538"/>
        <v/>
      </c>
    </row>
    <row r="2642" spans="2:19" ht="13.5" hidden="1" thickBot="1">
      <c r="B2642" s="625" t="s">
        <v>187</v>
      </c>
      <c r="C2642" s="401" t="s">
        <v>187</v>
      </c>
      <c r="D2642" s="410"/>
      <c r="E2642" s="403"/>
      <c r="F2642" s="411"/>
      <c r="G2642" s="405"/>
      <c r="H2642" s="404"/>
      <c r="I2642" s="406"/>
      <c r="J2642" s="407"/>
      <c r="K2642" s="412">
        <f t="shared" si="535"/>
        <v>0</v>
      </c>
      <c r="L2642" s="409" t="s">
        <v>777</v>
      </c>
      <c r="M2642" s="30"/>
      <c r="N2642" s="30"/>
      <c r="O2642" s="287">
        <f t="shared" si="539"/>
        <v>0</v>
      </c>
      <c r="P2642" s="287">
        <f t="shared" si="537"/>
        <v>0</v>
      </c>
      <c r="Q2642" s="288"/>
      <c r="R2642" s="243"/>
      <c r="S2642" s="385" t="str">
        <f t="shared" si="538"/>
        <v/>
      </c>
    </row>
    <row r="2643" spans="2:19" ht="13.5" hidden="1" thickBot="1">
      <c r="B2643" s="625" t="s">
        <v>187</v>
      </c>
      <c r="C2643" s="401" t="s">
        <v>187</v>
      </c>
      <c r="D2643" s="410"/>
      <c r="E2643" s="403"/>
      <c r="F2643" s="411"/>
      <c r="G2643" s="405"/>
      <c r="H2643" s="404"/>
      <c r="I2643" s="406"/>
      <c r="J2643" s="407"/>
      <c r="K2643" s="412">
        <f t="shared" si="535"/>
        <v>0</v>
      </c>
      <c r="L2643" s="409" t="s">
        <v>777</v>
      </c>
      <c r="M2643" s="30"/>
      <c r="N2643" s="30"/>
      <c r="O2643" s="287">
        <f t="shared" si="539"/>
        <v>0</v>
      </c>
      <c r="P2643" s="287">
        <f t="shared" si="537"/>
        <v>0</v>
      </c>
      <c r="Q2643" s="288"/>
      <c r="R2643" s="243"/>
      <c r="S2643" s="385" t="str">
        <f t="shared" si="538"/>
        <v/>
      </c>
    </row>
    <row r="2644" spans="2:19" ht="13.5" hidden="1" thickBot="1">
      <c r="B2644" s="625" t="s">
        <v>187</v>
      </c>
      <c r="C2644" s="401" t="s">
        <v>187</v>
      </c>
      <c r="D2644" s="410"/>
      <c r="E2644" s="403"/>
      <c r="F2644" s="411"/>
      <c r="G2644" s="405"/>
      <c r="H2644" s="404"/>
      <c r="I2644" s="406"/>
      <c r="J2644" s="407"/>
      <c r="K2644" s="412">
        <f t="shared" si="535"/>
        <v>0</v>
      </c>
      <c r="L2644" s="409" t="s">
        <v>777</v>
      </c>
      <c r="M2644" s="30"/>
      <c r="N2644" s="30"/>
      <c r="O2644" s="287">
        <f t="shared" si="539"/>
        <v>0</v>
      </c>
      <c r="P2644" s="287">
        <f t="shared" si="537"/>
        <v>0</v>
      </c>
      <c r="Q2644" s="288"/>
      <c r="R2644" s="243"/>
      <c r="S2644" s="385" t="str">
        <f t="shared" si="538"/>
        <v/>
      </c>
    </row>
    <row r="2645" spans="2:19" ht="13.5" hidden="1" thickBot="1">
      <c r="B2645" s="625" t="s">
        <v>187</v>
      </c>
      <c r="C2645" s="401" t="s">
        <v>187</v>
      </c>
      <c r="D2645" s="410"/>
      <c r="E2645" s="403"/>
      <c r="F2645" s="411"/>
      <c r="G2645" s="405"/>
      <c r="H2645" s="404"/>
      <c r="I2645" s="406"/>
      <c r="J2645" s="407"/>
      <c r="K2645" s="412">
        <f t="shared" si="535"/>
        <v>0</v>
      </c>
      <c r="L2645" s="409" t="s">
        <v>777</v>
      </c>
      <c r="M2645" s="30"/>
      <c r="N2645" s="30"/>
      <c r="O2645" s="287">
        <f t="shared" si="539"/>
        <v>0</v>
      </c>
      <c r="P2645" s="287">
        <f t="shared" si="537"/>
        <v>0</v>
      </c>
      <c r="Q2645" s="288"/>
      <c r="R2645" s="243"/>
      <c r="S2645" s="385" t="str">
        <f t="shared" si="538"/>
        <v/>
      </c>
    </row>
    <row r="2646" spans="2:19" ht="13.5" hidden="1" thickBot="1">
      <c r="B2646" s="625" t="s">
        <v>187</v>
      </c>
      <c r="C2646" s="401" t="s">
        <v>187</v>
      </c>
      <c r="D2646" s="410"/>
      <c r="E2646" s="403"/>
      <c r="F2646" s="411"/>
      <c r="G2646" s="405"/>
      <c r="H2646" s="404"/>
      <c r="I2646" s="406"/>
      <c r="J2646" s="407"/>
      <c r="K2646" s="412">
        <f t="shared" si="535"/>
        <v>0</v>
      </c>
      <c r="L2646" s="409" t="s">
        <v>777</v>
      </c>
      <c r="M2646" s="30"/>
      <c r="N2646" s="30"/>
      <c r="O2646" s="287">
        <f t="shared" si="539"/>
        <v>0</v>
      </c>
      <c r="P2646" s="287">
        <f t="shared" si="537"/>
        <v>0</v>
      </c>
      <c r="Q2646" s="288"/>
      <c r="R2646" s="243"/>
      <c r="S2646" s="385" t="str">
        <f t="shared" si="538"/>
        <v/>
      </c>
    </row>
    <row r="2647" spans="2:19" ht="13.5" hidden="1" thickBot="1">
      <c r="B2647" s="625" t="s">
        <v>187</v>
      </c>
      <c r="C2647" s="401" t="s">
        <v>187</v>
      </c>
      <c r="D2647" s="410"/>
      <c r="E2647" s="403"/>
      <c r="F2647" s="411"/>
      <c r="G2647" s="405"/>
      <c r="H2647" s="404"/>
      <c r="I2647" s="406"/>
      <c r="J2647" s="407"/>
      <c r="K2647" s="412">
        <f t="shared" si="535"/>
        <v>0</v>
      </c>
      <c r="L2647" s="409" t="s">
        <v>777</v>
      </c>
      <c r="M2647" s="30"/>
      <c r="N2647" s="30"/>
      <c r="O2647" s="287">
        <f t="shared" si="539"/>
        <v>0</v>
      </c>
      <c r="P2647" s="287">
        <f t="shared" si="537"/>
        <v>0</v>
      </c>
      <c r="Q2647" s="288"/>
      <c r="R2647" s="243"/>
      <c r="S2647" s="385" t="str">
        <f t="shared" si="538"/>
        <v/>
      </c>
    </row>
    <row r="2648" spans="2:19" ht="13.5" hidden="1" thickBot="1">
      <c r="B2648" s="625" t="s">
        <v>187</v>
      </c>
      <c r="C2648" s="401" t="s">
        <v>187</v>
      </c>
      <c r="D2648" s="410"/>
      <c r="E2648" s="403"/>
      <c r="F2648" s="411"/>
      <c r="G2648" s="405"/>
      <c r="H2648" s="404"/>
      <c r="I2648" s="406"/>
      <c r="J2648" s="407"/>
      <c r="K2648" s="412">
        <f t="shared" si="535"/>
        <v>0</v>
      </c>
      <c r="L2648" s="409" t="s">
        <v>777</v>
      </c>
      <c r="M2648" s="30"/>
      <c r="N2648" s="30"/>
      <c r="O2648" s="287">
        <f t="shared" si="539"/>
        <v>0</v>
      </c>
      <c r="P2648" s="287">
        <f t="shared" si="537"/>
        <v>0</v>
      </c>
      <c r="Q2648" s="288"/>
      <c r="R2648" s="243"/>
      <c r="S2648" s="385" t="str">
        <f t="shared" si="538"/>
        <v/>
      </c>
    </row>
    <row r="2649" spans="2:19" ht="13.5" hidden="1" thickBot="1">
      <c r="B2649" s="625" t="s">
        <v>187</v>
      </c>
      <c r="C2649" s="401" t="s">
        <v>187</v>
      </c>
      <c r="D2649" s="410"/>
      <c r="E2649" s="403"/>
      <c r="F2649" s="411"/>
      <c r="G2649" s="405"/>
      <c r="H2649" s="404"/>
      <c r="I2649" s="406"/>
      <c r="J2649" s="407"/>
      <c r="K2649" s="412">
        <f t="shared" si="535"/>
        <v>0</v>
      </c>
      <c r="L2649" s="409" t="s">
        <v>777</v>
      </c>
      <c r="M2649" s="30"/>
      <c r="N2649" s="30"/>
      <c r="O2649" s="287">
        <f t="shared" si="539"/>
        <v>0</v>
      </c>
      <c r="P2649" s="287">
        <f t="shared" si="537"/>
        <v>0</v>
      </c>
      <c r="Q2649" s="288"/>
      <c r="R2649" s="243"/>
      <c r="S2649" s="385" t="str">
        <f t="shared" si="538"/>
        <v/>
      </c>
    </row>
    <row r="2650" spans="2:19" ht="13.5" hidden="1" thickBot="1">
      <c r="B2650" s="625" t="s">
        <v>187</v>
      </c>
      <c r="C2650" s="401" t="s">
        <v>187</v>
      </c>
      <c r="D2650" s="410"/>
      <c r="E2650" s="403"/>
      <c r="F2650" s="411"/>
      <c r="G2650" s="405"/>
      <c r="H2650" s="404"/>
      <c r="I2650" s="406"/>
      <c r="J2650" s="407"/>
      <c r="K2650" s="412">
        <f t="shared" si="535"/>
        <v>0</v>
      </c>
      <c r="L2650" s="409" t="s">
        <v>777</v>
      </c>
      <c r="M2650" s="30"/>
      <c r="N2650" s="30"/>
      <c r="O2650" s="287">
        <f t="shared" si="539"/>
        <v>0</v>
      </c>
      <c r="P2650" s="287">
        <f t="shared" si="537"/>
        <v>0</v>
      </c>
      <c r="Q2650" s="288"/>
      <c r="R2650" s="243"/>
      <c r="S2650" s="385" t="str">
        <f t="shared" si="538"/>
        <v/>
      </c>
    </row>
    <row r="2651" spans="2:19" ht="13.5" hidden="1" thickBot="1">
      <c r="B2651" s="625" t="s">
        <v>187</v>
      </c>
      <c r="C2651" s="401" t="s">
        <v>187</v>
      </c>
      <c r="D2651" s="410"/>
      <c r="E2651" s="403"/>
      <c r="F2651" s="411"/>
      <c r="G2651" s="405"/>
      <c r="H2651" s="404"/>
      <c r="I2651" s="406"/>
      <c r="J2651" s="407"/>
      <c r="K2651" s="412">
        <f t="shared" si="535"/>
        <v>0</v>
      </c>
      <c r="L2651" s="409" t="s">
        <v>777</v>
      </c>
      <c r="M2651" s="30"/>
      <c r="N2651" s="30"/>
      <c r="O2651" s="287">
        <f t="shared" si="539"/>
        <v>0</v>
      </c>
      <c r="P2651" s="287">
        <f t="shared" si="537"/>
        <v>0</v>
      </c>
      <c r="Q2651" s="288"/>
      <c r="R2651" s="243"/>
      <c r="S2651" s="385" t="str">
        <f t="shared" si="538"/>
        <v/>
      </c>
    </row>
    <row r="2652" spans="2:19" ht="13.5" hidden="1" thickBot="1">
      <c r="B2652" s="625" t="s">
        <v>187</v>
      </c>
      <c r="C2652" s="401" t="s">
        <v>187</v>
      </c>
      <c r="D2652" s="410"/>
      <c r="E2652" s="403"/>
      <c r="F2652" s="411"/>
      <c r="G2652" s="405"/>
      <c r="H2652" s="404"/>
      <c r="I2652" s="406"/>
      <c r="J2652" s="407"/>
      <c r="K2652" s="412">
        <f t="shared" si="535"/>
        <v>0</v>
      </c>
      <c r="L2652" s="409" t="s">
        <v>777</v>
      </c>
      <c r="M2652" s="30"/>
      <c r="N2652" s="30"/>
      <c r="O2652" s="287">
        <f t="shared" si="539"/>
        <v>0</v>
      </c>
      <c r="P2652" s="287">
        <f t="shared" si="537"/>
        <v>0</v>
      </c>
      <c r="Q2652" s="288"/>
      <c r="R2652" s="243"/>
      <c r="S2652" s="385" t="str">
        <f t="shared" si="538"/>
        <v/>
      </c>
    </row>
    <row r="2653" spans="2:19" ht="13.5" hidden="1" thickBot="1">
      <c r="B2653" s="625" t="s">
        <v>187</v>
      </c>
      <c r="C2653" s="401" t="s">
        <v>187</v>
      </c>
      <c r="D2653" s="410"/>
      <c r="E2653" s="403"/>
      <c r="F2653" s="411"/>
      <c r="G2653" s="405"/>
      <c r="H2653" s="404"/>
      <c r="I2653" s="406"/>
      <c r="J2653" s="407"/>
      <c r="K2653" s="412">
        <f t="shared" si="535"/>
        <v>0</v>
      </c>
      <c r="L2653" s="409" t="s">
        <v>777</v>
      </c>
      <c r="M2653" s="30"/>
      <c r="N2653" s="30"/>
      <c r="O2653" s="287">
        <f t="shared" si="539"/>
        <v>0</v>
      </c>
      <c r="P2653" s="287">
        <f t="shared" si="537"/>
        <v>0</v>
      </c>
      <c r="Q2653" s="288"/>
      <c r="R2653" s="243"/>
      <c r="S2653" s="385" t="str">
        <f t="shared" si="538"/>
        <v/>
      </c>
    </row>
    <row r="2654" spans="2:19" ht="13.5" hidden="1" thickBot="1">
      <c r="B2654" s="625" t="s">
        <v>187</v>
      </c>
      <c r="C2654" s="401" t="s">
        <v>187</v>
      </c>
      <c r="D2654" s="410"/>
      <c r="E2654" s="403"/>
      <c r="F2654" s="411"/>
      <c r="G2654" s="405"/>
      <c r="H2654" s="404"/>
      <c r="I2654" s="406"/>
      <c r="J2654" s="407"/>
      <c r="K2654" s="412">
        <f t="shared" si="535"/>
        <v>0</v>
      </c>
      <c r="L2654" s="409" t="s">
        <v>777</v>
      </c>
      <c r="M2654" s="30"/>
      <c r="N2654" s="30"/>
      <c r="O2654" s="287">
        <f t="shared" si="539"/>
        <v>0</v>
      </c>
      <c r="P2654" s="287">
        <f t="shared" si="537"/>
        <v>0</v>
      </c>
      <c r="Q2654" s="288"/>
      <c r="R2654" s="243"/>
      <c r="S2654" s="385" t="str">
        <f t="shared" si="538"/>
        <v/>
      </c>
    </row>
    <row r="2655" spans="2:19" ht="13.5" hidden="1" thickBot="1">
      <c r="B2655" s="625" t="s">
        <v>187</v>
      </c>
      <c r="C2655" s="401" t="s">
        <v>187</v>
      </c>
      <c r="D2655" s="410"/>
      <c r="E2655" s="403"/>
      <c r="F2655" s="411"/>
      <c r="G2655" s="405"/>
      <c r="H2655" s="404"/>
      <c r="I2655" s="406"/>
      <c r="J2655" s="407"/>
      <c r="K2655" s="412">
        <f t="shared" si="535"/>
        <v>0</v>
      </c>
      <c r="L2655" s="409" t="s">
        <v>777</v>
      </c>
      <c r="M2655" s="30"/>
      <c r="N2655" s="30"/>
      <c r="O2655" s="287">
        <f t="shared" si="539"/>
        <v>0</v>
      </c>
      <c r="P2655" s="287">
        <f t="shared" si="537"/>
        <v>0</v>
      </c>
      <c r="Q2655" s="288"/>
      <c r="R2655" s="243"/>
      <c r="S2655" s="385" t="str">
        <f t="shared" si="538"/>
        <v/>
      </c>
    </row>
    <row r="2656" spans="2:19" ht="13.5" hidden="1" thickBot="1">
      <c r="B2656" s="625" t="s">
        <v>187</v>
      </c>
      <c r="C2656" s="401" t="s">
        <v>187</v>
      </c>
      <c r="D2656" s="410"/>
      <c r="E2656" s="403"/>
      <c r="F2656" s="411"/>
      <c r="G2656" s="405"/>
      <c r="H2656" s="404"/>
      <c r="I2656" s="406"/>
      <c r="J2656" s="407"/>
      <c r="K2656" s="412">
        <f t="shared" si="535"/>
        <v>0</v>
      </c>
      <c r="L2656" s="409" t="s">
        <v>777</v>
      </c>
      <c r="M2656" s="30"/>
      <c r="N2656" s="30"/>
      <c r="O2656" s="287">
        <f t="shared" si="539"/>
        <v>0</v>
      </c>
      <c r="P2656" s="287">
        <f t="shared" si="537"/>
        <v>0</v>
      </c>
      <c r="Q2656" s="288"/>
      <c r="R2656" s="243"/>
      <c r="S2656" s="385" t="str">
        <f t="shared" si="538"/>
        <v/>
      </c>
    </row>
    <row r="2657" spans="2:19" ht="13.5" hidden="1" thickBot="1">
      <c r="B2657" s="625" t="s">
        <v>187</v>
      </c>
      <c r="C2657" s="401" t="s">
        <v>187</v>
      </c>
      <c r="D2657" s="410"/>
      <c r="E2657" s="403"/>
      <c r="F2657" s="411"/>
      <c r="G2657" s="405"/>
      <c r="H2657" s="404"/>
      <c r="I2657" s="406"/>
      <c r="J2657" s="407"/>
      <c r="K2657" s="412">
        <f t="shared" si="535"/>
        <v>0</v>
      </c>
      <c r="L2657" s="409" t="s">
        <v>777</v>
      </c>
      <c r="M2657" s="30"/>
      <c r="N2657" s="30"/>
      <c r="O2657" s="287">
        <f t="shared" si="539"/>
        <v>0</v>
      </c>
      <c r="P2657" s="287">
        <f t="shared" si="537"/>
        <v>0</v>
      </c>
      <c r="Q2657" s="288"/>
      <c r="R2657" s="243"/>
      <c r="S2657" s="385" t="str">
        <f t="shared" si="538"/>
        <v/>
      </c>
    </row>
    <row r="2658" spans="2:19" ht="13.5" hidden="1" thickBot="1">
      <c r="B2658" s="625" t="s">
        <v>187</v>
      </c>
      <c r="C2658" s="401" t="s">
        <v>187</v>
      </c>
      <c r="D2658" s="410"/>
      <c r="E2658" s="403"/>
      <c r="F2658" s="411"/>
      <c r="G2658" s="405"/>
      <c r="H2658" s="404"/>
      <c r="I2658" s="406"/>
      <c r="J2658" s="407"/>
      <c r="K2658" s="412">
        <f t="shared" si="535"/>
        <v>0</v>
      </c>
      <c r="L2658" s="409" t="s">
        <v>777</v>
      </c>
      <c r="M2658" s="30"/>
      <c r="N2658" s="30"/>
      <c r="O2658" s="287">
        <f t="shared" si="539"/>
        <v>0</v>
      </c>
      <c r="P2658" s="287">
        <f t="shared" si="537"/>
        <v>0</v>
      </c>
      <c r="Q2658" s="288"/>
      <c r="R2658" s="243"/>
      <c r="S2658" s="385" t="str">
        <f t="shared" si="538"/>
        <v/>
      </c>
    </row>
    <row r="2659" spans="2:19" ht="13.5" hidden="1" thickBot="1">
      <c r="B2659" s="625" t="s">
        <v>187</v>
      </c>
      <c r="C2659" s="401" t="s">
        <v>187</v>
      </c>
      <c r="D2659" s="410"/>
      <c r="E2659" s="403"/>
      <c r="F2659" s="411"/>
      <c r="G2659" s="405"/>
      <c r="H2659" s="404"/>
      <c r="I2659" s="406"/>
      <c r="J2659" s="407"/>
      <c r="K2659" s="412">
        <f t="shared" si="535"/>
        <v>0</v>
      </c>
      <c r="L2659" s="409" t="s">
        <v>777</v>
      </c>
      <c r="M2659" s="30"/>
      <c r="N2659" s="30"/>
      <c r="O2659" s="287">
        <f t="shared" si="539"/>
        <v>0</v>
      </c>
      <c r="P2659" s="287">
        <f t="shared" si="537"/>
        <v>0</v>
      </c>
      <c r="Q2659" s="288"/>
      <c r="R2659" s="243"/>
      <c r="S2659" s="385" t="str">
        <f t="shared" si="538"/>
        <v/>
      </c>
    </row>
    <row r="2660" spans="2:19" ht="13.5" hidden="1" thickBot="1">
      <c r="B2660" s="625" t="s">
        <v>187</v>
      </c>
      <c r="C2660" s="401" t="s">
        <v>187</v>
      </c>
      <c r="D2660" s="410"/>
      <c r="E2660" s="403"/>
      <c r="F2660" s="411"/>
      <c r="G2660" s="405"/>
      <c r="H2660" s="404"/>
      <c r="I2660" s="406"/>
      <c r="J2660" s="407"/>
      <c r="K2660" s="412">
        <f t="shared" si="535"/>
        <v>0</v>
      </c>
      <c r="L2660" s="409" t="s">
        <v>777</v>
      </c>
      <c r="M2660" s="30"/>
      <c r="N2660" s="30"/>
      <c r="O2660" s="287">
        <f t="shared" si="539"/>
        <v>0</v>
      </c>
      <c r="P2660" s="287">
        <f t="shared" si="537"/>
        <v>0</v>
      </c>
      <c r="Q2660" s="288"/>
      <c r="R2660" s="243"/>
      <c r="S2660" s="385" t="str">
        <f t="shared" si="538"/>
        <v/>
      </c>
    </row>
    <row r="2661" spans="2:19" ht="13.5" hidden="1" thickBot="1">
      <c r="B2661" s="625" t="s">
        <v>187</v>
      </c>
      <c r="C2661" s="401" t="s">
        <v>187</v>
      </c>
      <c r="D2661" s="410"/>
      <c r="E2661" s="403"/>
      <c r="F2661" s="411"/>
      <c r="G2661" s="405"/>
      <c r="H2661" s="404"/>
      <c r="I2661" s="406"/>
      <c r="J2661" s="407"/>
      <c r="K2661" s="412">
        <f t="shared" si="535"/>
        <v>0</v>
      </c>
      <c r="L2661" s="409" t="s">
        <v>777</v>
      </c>
      <c r="M2661" s="30"/>
      <c r="N2661" s="30"/>
      <c r="O2661" s="287">
        <f t="shared" si="539"/>
        <v>0</v>
      </c>
      <c r="P2661" s="287">
        <f t="shared" si="537"/>
        <v>0</v>
      </c>
      <c r="Q2661" s="288"/>
      <c r="R2661" s="243"/>
      <c r="S2661" s="385" t="str">
        <f t="shared" si="538"/>
        <v/>
      </c>
    </row>
    <row r="2662" spans="2:19" ht="13.5" hidden="1" thickBot="1">
      <c r="B2662" s="625" t="s">
        <v>187</v>
      </c>
      <c r="C2662" s="401" t="s">
        <v>187</v>
      </c>
      <c r="D2662" s="414"/>
      <c r="E2662" s="403"/>
      <c r="F2662" s="411"/>
      <c r="G2662" s="405"/>
      <c r="H2662" s="404"/>
      <c r="I2662" s="406"/>
      <c r="J2662" s="407"/>
      <c r="K2662" s="412">
        <f t="shared" si="535"/>
        <v>0</v>
      </c>
      <c r="L2662" s="409" t="s">
        <v>777</v>
      </c>
      <c r="M2662" s="30"/>
      <c r="N2662" s="30"/>
      <c r="O2662" s="287">
        <f t="shared" si="539"/>
        <v>0</v>
      </c>
      <c r="P2662" s="287">
        <f t="shared" si="537"/>
        <v>0</v>
      </c>
      <c r="Q2662" s="288"/>
      <c r="R2662" s="243"/>
      <c r="S2662" s="385" t="str">
        <f t="shared" si="538"/>
        <v/>
      </c>
    </row>
    <row r="2663" spans="2:19" ht="13.5" thickBot="1">
      <c r="B2663" s="642" t="s">
        <v>174</v>
      </c>
      <c r="C2663" s="289"/>
      <c r="D2663" s="444" t="s">
        <v>538</v>
      </c>
      <c r="E2663" s="290"/>
      <c r="F2663" s="454"/>
      <c r="G2663" s="292"/>
      <c r="H2663" s="291"/>
      <c r="I2663" s="291"/>
      <c r="J2663" s="291" t="str">
        <f t="shared" ref="J2663:J2664" si="540">IF(ISBLANK(I2663),"",SUM(H2663:I2663))</f>
        <v/>
      </c>
      <c r="K2663" s="291"/>
      <c r="L2663" s="291"/>
      <c r="M2663" s="293"/>
      <c r="N2663" s="294"/>
      <c r="O2663" s="295">
        <f>SUBTOTAL(9,O18:O2662)</f>
        <v>460003.36999999994</v>
      </c>
      <c r="P2663" s="296">
        <f>SUBTOTAL(9,P18:P2662)</f>
        <v>460003.36999999994</v>
      </c>
      <c r="Q2663" s="296">
        <f>SUBTOTAL(9,Q18:Q2662)</f>
        <v>460003.37</v>
      </c>
      <c r="R2663" s="443" t="s">
        <v>174</v>
      </c>
      <c r="S2663" s="385" t="str">
        <f t="shared" si="538"/>
        <v>x</v>
      </c>
    </row>
    <row r="2664" spans="2:19" ht="13.5" thickBot="1">
      <c r="B2664" s="642" t="s">
        <v>174</v>
      </c>
      <c r="C2664" s="289"/>
      <c r="D2664" s="444" t="s">
        <v>748</v>
      </c>
      <c r="E2664" s="297"/>
      <c r="F2664" s="454"/>
      <c r="G2664" s="292"/>
      <c r="H2664" s="291"/>
      <c r="I2664" s="291"/>
      <c r="J2664" s="291" t="str">
        <f t="shared" si="540"/>
        <v/>
      </c>
      <c r="K2664" s="291"/>
      <c r="L2664" s="291"/>
      <c r="M2664" s="293"/>
      <c r="N2664" s="294"/>
      <c r="O2664" s="298">
        <f>SUM(O18:O527)</f>
        <v>322046.63</v>
      </c>
      <c r="P2664" s="298">
        <f>SUM(P18:P527)</f>
        <v>322046.63</v>
      </c>
      <c r="Q2664" s="298">
        <f>SUM(Q18:Q527)</f>
        <v>322046.63</v>
      </c>
      <c r="R2664" s="443" t="s">
        <v>174</v>
      </c>
      <c r="S2664" s="385" t="str">
        <f t="shared" si="538"/>
        <v>x</v>
      </c>
    </row>
    <row r="2665" spans="2:19" ht="13.5" thickBot="1">
      <c r="B2665" s="642" t="s">
        <v>174</v>
      </c>
      <c r="C2665" s="289"/>
      <c r="D2665" s="444" t="s">
        <v>752</v>
      </c>
      <c r="E2665" s="297"/>
      <c r="F2665" s="454"/>
      <c r="G2665" s="292"/>
      <c r="H2665" s="291"/>
      <c r="I2665" s="291"/>
      <c r="J2665" s="291" t="str">
        <f t="shared" ref="J2665:J2669" si="541">IF(ISBLANK(I2665),"",SUM(H2665:I2665))</f>
        <v/>
      </c>
      <c r="K2665" s="291"/>
      <c r="L2665" s="291"/>
      <c r="M2665" s="293"/>
      <c r="N2665" s="294"/>
      <c r="O2665" s="295">
        <f>SUM(O528:O784)</f>
        <v>123531.37999999999</v>
      </c>
      <c r="P2665" s="295">
        <f>SUM(P528:P784)</f>
        <v>123531.37999999999</v>
      </c>
      <c r="Q2665" s="295">
        <f>SUM(Q528:Q784)</f>
        <v>123531.37999999999</v>
      </c>
      <c r="R2665" s="443" t="s">
        <v>174</v>
      </c>
      <c r="S2665" s="385" t="str">
        <f t="shared" si="538"/>
        <v>x</v>
      </c>
    </row>
    <row r="2666" spans="2:19" ht="13.5" thickBot="1">
      <c r="B2666" s="642" t="s">
        <v>174</v>
      </c>
      <c r="C2666" s="289"/>
      <c r="D2666" s="444" t="s">
        <v>749</v>
      </c>
      <c r="E2666" s="297"/>
      <c r="F2666" s="454"/>
      <c r="G2666" s="292"/>
      <c r="H2666" s="291"/>
      <c r="I2666" s="291"/>
      <c r="J2666" s="291" t="str">
        <f t="shared" si="541"/>
        <v/>
      </c>
      <c r="K2666" s="291"/>
      <c r="L2666" s="291"/>
      <c r="M2666" s="293"/>
      <c r="N2666" s="294"/>
      <c r="O2666" s="295">
        <f>SUM(O785:O1644)</f>
        <v>0</v>
      </c>
      <c r="P2666" s="295">
        <f>SUM(P785:P1644)</f>
        <v>0</v>
      </c>
      <c r="Q2666" s="295">
        <f>SUM(Q785:Q1644)</f>
        <v>0</v>
      </c>
      <c r="R2666" s="443" t="s">
        <v>174</v>
      </c>
      <c r="S2666" s="385" t="str">
        <f t="shared" si="538"/>
        <v>x</v>
      </c>
    </row>
    <row r="2667" spans="2:19" ht="13.5" thickBot="1">
      <c r="B2667" s="723" t="s">
        <v>174</v>
      </c>
      <c r="C2667" s="289"/>
      <c r="D2667" s="444" t="s">
        <v>750</v>
      </c>
      <c r="E2667" s="297"/>
      <c r="F2667" s="454"/>
      <c r="G2667" s="292"/>
      <c r="H2667" s="291"/>
      <c r="I2667" s="291"/>
      <c r="J2667" s="291" t="str">
        <f t="shared" si="541"/>
        <v/>
      </c>
      <c r="K2667" s="291"/>
      <c r="L2667" s="291"/>
      <c r="M2667" s="293"/>
      <c r="N2667" s="294"/>
      <c r="O2667" s="295">
        <f>SUM(O1645:O1739)</f>
        <v>0</v>
      </c>
      <c r="P2667" s="295">
        <f>SUM(P1645:P1739)</f>
        <v>0</v>
      </c>
      <c r="Q2667" s="295">
        <f>SUM(Q1645:Q1739)</f>
        <v>0</v>
      </c>
      <c r="R2667" s="443" t="s">
        <v>174</v>
      </c>
      <c r="S2667" s="385" t="str">
        <f t="shared" si="538"/>
        <v>x</v>
      </c>
    </row>
    <row r="2668" spans="2:19" ht="13.5" thickBot="1">
      <c r="B2668" s="642" t="s">
        <v>174</v>
      </c>
      <c r="C2668" s="289"/>
      <c r="D2668" s="444" t="s">
        <v>751</v>
      </c>
      <c r="E2668" s="297"/>
      <c r="F2668" s="454"/>
      <c r="G2668" s="292"/>
      <c r="H2668" s="291"/>
      <c r="I2668" s="291"/>
      <c r="J2668" s="291" t="str">
        <f t="shared" si="541"/>
        <v/>
      </c>
      <c r="K2668" s="291"/>
      <c r="L2668" s="291"/>
      <c r="M2668" s="293"/>
      <c r="N2668" s="294"/>
      <c r="O2668" s="295">
        <f>SUM(O1740:O2616)</f>
        <v>0</v>
      </c>
      <c r="P2668" s="295">
        <f>SUM(P1740:P2616)</f>
        <v>0</v>
      </c>
      <c r="Q2668" s="295">
        <f>SUM(Q1740:Q2616)</f>
        <v>0</v>
      </c>
      <c r="R2668" s="443" t="s">
        <v>174</v>
      </c>
      <c r="S2668" s="385" t="str">
        <f t="shared" si="538"/>
        <v>x</v>
      </c>
    </row>
    <row r="2669" spans="2:19" ht="13.5" thickBot="1">
      <c r="B2669" s="642" t="s">
        <v>174</v>
      </c>
      <c r="C2669" s="289"/>
      <c r="D2669" s="444" t="s">
        <v>776</v>
      </c>
      <c r="E2669" s="297"/>
      <c r="F2669" s="454"/>
      <c r="G2669" s="292"/>
      <c r="H2669" s="291"/>
      <c r="I2669" s="291"/>
      <c r="J2669" s="291" t="str">
        <f t="shared" si="541"/>
        <v/>
      </c>
      <c r="K2669" s="291"/>
      <c r="L2669" s="291"/>
      <c r="M2669" s="293"/>
      <c r="N2669" s="294"/>
      <c r="O2669" s="295">
        <f>SUM(O2617:O2662)</f>
        <v>14425.36</v>
      </c>
      <c r="P2669" s="295">
        <f>SUM(P2617:P2662)</f>
        <v>14425.36</v>
      </c>
      <c r="Q2669" s="295">
        <f>SUM(Q2617:Q2662)</f>
        <v>14425.36</v>
      </c>
      <c r="R2669" s="443" t="s">
        <v>174</v>
      </c>
      <c r="S2669" s="385" t="str">
        <f t="shared" si="538"/>
        <v>x</v>
      </c>
    </row>
    <row r="2670" spans="2:19" ht="13.5" thickBot="1">
      <c r="B2670" s="642" t="s">
        <v>174</v>
      </c>
      <c r="C2670" s="289"/>
      <c r="D2670" s="765"/>
      <c r="E2670" s="766"/>
      <c r="F2670" s="291"/>
      <c r="G2670" s="765"/>
      <c r="H2670" s="767"/>
      <c r="I2670" s="765"/>
      <c r="J2670" s="765"/>
      <c r="K2670" s="765"/>
      <c r="L2670" s="768"/>
      <c r="M2670" s="827" t="s">
        <v>466</v>
      </c>
      <c r="N2670" s="828"/>
      <c r="O2670" s="445"/>
      <c r="P2670" s="299" t="s">
        <v>18</v>
      </c>
      <c r="Q2670" s="300">
        <f>IF(O2670=0,0,Q2663/O2670)</f>
        <v>0</v>
      </c>
      <c r="R2670" s="443" t="s">
        <v>174</v>
      </c>
      <c r="S2670" s="385" t="str">
        <f t="shared" si="538"/>
        <v>x</v>
      </c>
    </row>
    <row r="2671" spans="2:19">
      <c r="B2671" s="643" t="s">
        <v>174</v>
      </c>
      <c r="L2671" s="447"/>
      <c r="M2671" s="447"/>
      <c r="N2671" s="447"/>
      <c r="O2671" s="447"/>
      <c r="P2671" s="447"/>
      <c r="Q2671" s="447"/>
      <c r="R2671" s="443" t="s">
        <v>174</v>
      </c>
      <c r="S2671" s="385" t="str">
        <f t="shared" si="538"/>
        <v>x</v>
      </c>
    </row>
    <row r="2672" spans="2:19" ht="13.5" thickBot="1">
      <c r="B2672" s="643" t="s">
        <v>174</v>
      </c>
      <c r="D2672" s="527"/>
      <c r="L2672" s="447"/>
      <c r="M2672" s="447"/>
      <c r="N2672" s="447"/>
      <c r="O2672" s="447"/>
      <c r="P2672" s="447"/>
      <c r="Q2672" s="447"/>
      <c r="R2672" s="443" t="s">
        <v>174</v>
      </c>
      <c r="S2672" s="385" t="str">
        <f t="shared" si="538"/>
        <v>x</v>
      </c>
    </row>
    <row r="2673" spans="2:19" ht="13.5" thickBot="1">
      <c r="B2673" s="643" t="s">
        <v>174</v>
      </c>
      <c r="D2673" s="527"/>
      <c r="J2673" s="789">
        <f>SUM(J19:J2672)</f>
        <v>979592.85664017673</v>
      </c>
      <c r="K2673" s="789">
        <f>SUM(K19:K2672)</f>
        <v>1188736.0199999975</v>
      </c>
      <c r="L2673" s="447"/>
      <c r="M2673" s="829" t="s">
        <v>467</v>
      </c>
      <c r="N2673" s="830"/>
      <c r="O2673" s="296">
        <f>SUM(O18:O2662)</f>
        <v>460003.36999999994</v>
      </c>
      <c r="P2673" s="296">
        <f>SUM(P18:P2662)</f>
        <v>460003.36999999994</v>
      </c>
      <c r="Q2673" s="296">
        <f>SUM(Q18:Q2662)</f>
        <v>460003.37</v>
      </c>
      <c r="R2673" s="443" t="s">
        <v>174</v>
      </c>
      <c r="S2673" s="385" t="str">
        <f t="shared" si="538"/>
        <v>x</v>
      </c>
    </row>
    <row r="2674" spans="2:19">
      <c r="B2674" s="644"/>
      <c r="D2674" s="527"/>
      <c r="J2674" s="790"/>
      <c r="K2674" s="791"/>
      <c r="R2674" s="443" t="s">
        <v>174</v>
      </c>
      <c r="S2674" s="385" t="str">
        <f t="shared" si="538"/>
        <v>x</v>
      </c>
    </row>
    <row r="2675" spans="2:19">
      <c r="B2675" s="644"/>
      <c r="J2675" s="789">
        <v>975474.39244693844</v>
      </c>
      <c r="K2675" s="789">
        <v>1183738.2499999977</v>
      </c>
      <c r="R2675" s="443" t="s">
        <v>174</v>
      </c>
      <c r="S2675" s="385" t="str">
        <f t="shared" si="538"/>
        <v>x</v>
      </c>
    </row>
    <row r="2676" spans="2:19">
      <c r="B2676" s="644"/>
      <c r="I2676" s="448"/>
      <c r="R2676" s="443" t="s">
        <v>174</v>
      </c>
      <c r="S2676" s="385" t="str">
        <f t="shared" si="538"/>
        <v>x</v>
      </c>
    </row>
    <row r="2677" spans="2:19">
      <c r="B2677" s="644"/>
      <c r="R2677" s="443" t="s">
        <v>174</v>
      </c>
      <c r="S2677" s="385" t="str">
        <f t="shared" si="538"/>
        <v>x</v>
      </c>
    </row>
    <row r="2678" spans="2:19">
      <c r="B2678" s="644"/>
      <c r="R2678" s="443" t="s">
        <v>174</v>
      </c>
      <c r="S2678" s="385" t="str">
        <f t="shared" si="538"/>
        <v>x</v>
      </c>
    </row>
    <row r="2679" spans="2:19" hidden="1">
      <c r="B2679" s="644" t="s">
        <v>1804</v>
      </c>
    </row>
    <row r="2680" spans="2:19" hidden="1">
      <c r="B2680" s="644" t="s">
        <v>1886</v>
      </c>
    </row>
    <row r="2681" spans="2:19">
      <c r="B2681" s="644"/>
    </row>
    <row r="2682" spans="2:19">
      <c r="B2682" s="644"/>
    </row>
    <row r="2683" spans="2:19">
      <c r="B2683" s="644"/>
    </row>
  </sheetData>
  <autoFilter ref="A17:S2680">
    <filterColumn colId="17">
      <customFilters>
        <customFilter operator="notEqual" val=" "/>
      </customFilters>
    </filterColumn>
    <filterColumn colId="18"/>
  </autoFilter>
  <mergeCells count="4">
    <mergeCell ref="F2:G2"/>
    <mergeCell ref="E16:E17"/>
    <mergeCell ref="M2670:N2670"/>
    <mergeCell ref="M2673:N2673"/>
  </mergeCells>
  <pageMargins left="1.1811023622047245" right="0.78740157480314965" top="1.1811023622047245" bottom="0.78740157480314965" header="0.31496062992125984" footer="0.51181102362204722"/>
  <pageSetup paperSize="9" scale="3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9</vt:i4>
      </vt:variant>
      <vt:variant>
        <vt:lpstr>Intervalos nomeados</vt:lpstr>
      </vt:variant>
      <vt:variant>
        <vt:i4>9</vt:i4>
      </vt:variant>
    </vt:vector>
  </HeadingPairs>
  <TitlesOfParts>
    <vt:vector size="18" baseType="lpstr">
      <vt:lpstr>Prazos e Áreas</vt:lpstr>
      <vt:lpstr>base</vt:lpstr>
      <vt:lpstr>base (2)</vt:lpstr>
      <vt:lpstr>Cronograma PAM</vt:lpstr>
      <vt:lpstr>Cronograma SFM</vt:lpstr>
      <vt:lpstr>BDI Pavimentação</vt:lpstr>
      <vt:lpstr>Grandes Itens</vt:lpstr>
      <vt:lpstr>ENSAIOS DE ORÇAMENTO</vt:lpstr>
      <vt:lpstr>ORÇAMENTO</vt:lpstr>
      <vt:lpstr>base!Area_de_impressao</vt:lpstr>
      <vt:lpstr>'base (2)'!Area_de_impressao</vt:lpstr>
      <vt:lpstr>'BDI Pavimentação'!Area_de_impressao</vt:lpstr>
      <vt:lpstr>'Cronograma PAM'!Area_de_impressao</vt:lpstr>
      <vt:lpstr>'Cronograma SFM'!Area_de_impressao</vt:lpstr>
      <vt:lpstr>'Grandes Itens'!Area_de_impressao</vt:lpstr>
      <vt:lpstr>ORÇAMENTO!Area_de_impressao</vt:lpstr>
      <vt:lpstr>'Grandes Itens'!Titulos_de_impressao</vt:lpstr>
      <vt:lpstr>ORÇAMENTO!Titulos_de_impressao</vt:lpstr>
    </vt:vector>
  </TitlesOfParts>
  <Company>PARANACIDADE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Ruy  José da Costa</dc:creator>
  <cp:lastModifiedBy>engenharia</cp:lastModifiedBy>
  <cp:lastPrinted>2022-03-30T17:49:25Z</cp:lastPrinted>
  <dcterms:created xsi:type="dcterms:W3CDTF">2008-09-16T14:08:54Z</dcterms:created>
  <dcterms:modified xsi:type="dcterms:W3CDTF">2022-08-10T17:29:37Z</dcterms:modified>
</cp:coreProperties>
</file>